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31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codeName="ThisWorkbook"/>
  <bookViews>
    <workbookView xWindow="11985" yWindow="-15" windowWidth="12060" windowHeight="13620" tabRatio="720"/>
  </bookViews>
  <sheets>
    <sheet name="JHS-25 Ex A-1" sheetId="114" r:id="rId1"/>
    <sheet name="JHS-19" sheetId="86" r:id="rId2"/>
    <sheet name="JHS-20" sheetId="87" r:id="rId3"/>
    <sheet name="JHS-20.01(A)" sheetId="24" r:id="rId4"/>
    <sheet name="JHS-21" sheetId="126" r:id="rId5"/>
    <sheet name="JHS-22" sheetId="127" r:id="rId6"/>
    <sheet name="JHS-23" sheetId="130" r:id="rId7"/>
    <sheet name="JHS-24 Unit Cost" sheetId="124" r:id="rId8"/>
    <sheet name="JHS-25 Ex A-2" sheetId="117" r:id="rId9"/>
    <sheet name="JHS-25 Ex A-3" sheetId="120" r:id="rId10"/>
    <sheet name="JHS-25 Ex A-4" sheetId="121" r:id="rId11"/>
    <sheet name="JHS-25 Ex A-5" sheetId="122" r:id="rId12"/>
    <sheet name="RATE SPREAD" sheetId="140" r:id="rId13"/>
    <sheet name="SPEC CONT + FIRM RESALE INC" sheetId="141" r:id="rId14"/>
    <sheet name="DEM RY PC" sheetId="40" r:id="rId15"/>
    <sheet name="LSR Power Costs" sheetId="132" r:id="rId16"/>
    <sheet name="Restated TY" sheetId="11" r:id="rId17"/>
    <sheet name="09-10" sheetId="103" r:id="rId18"/>
    <sheet name="557" sheetId="111" r:id="rId19"/>
    <sheet name="Production Adjustment" sheetId="21" r:id="rId20"/>
    <sheet name="Production Factor" sheetId="22" r:id="rId21"/>
    <sheet name="Production Plant Premiums" sheetId="52" r:id="rId22"/>
    <sheet name="Prod Plant" sheetId="61" r:id="rId23"/>
    <sheet name="ProdO&amp;M" sheetId="105" r:id="rId24"/>
    <sheet name="EB&amp;Taxes" sheetId="28" r:id="rId25"/>
    <sheet name="TransmRev" sheetId="29" r:id="rId26"/>
    <sheet name="Restating Print Macros" sheetId="33" state="veryHidden" r:id="rId27"/>
    <sheet name="Module13" sheetId="34" state="veryHidden" r:id="rId28"/>
    <sheet name="Module14" sheetId="35" state="veryHidden" r:id="rId29"/>
    <sheet name="Module15" sheetId="36" state="veryHidden" r:id="rId30"/>
    <sheet name="Module1" sheetId="37" state="veryHidden" r:id="rId31"/>
  </sheets>
  <externalReferences>
    <externalReference r:id="rId32"/>
    <externalReference r:id="rId33"/>
    <externalReference r:id="rId34"/>
  </externalReferences>
  <definedNames>
    <definedName name="___six6" hidden="1">{#N/A,#N/A,FALSE,"CRPT";#N/A,#N/A,FALSE,"TREND";#N/A,#N/A,FALSE,"%Curve"}</definedName>
    <definedName name="__123Graph_ECURRENT" localSheetId="23" hidden="1">[1]ConsolidatingPL!#REF!</definedName>
    <definedName name="__123Graph_ECURRENT" hidden="1">#N/A</definedName>
    <definedName name="__six6" hidden="1">{#N/A,#N/A,FALSE,"CRPT";#N/A,#N/A,FALSE,"TREND";#N/A,#N/A,FALSE,"%Curve"}</definedName>
    <definedName name="__www1" hidden="1">{#N/A,#N/A,FALSE,"schA"}</definedName>
    <definedName name="_19.01">'JHS-19'!$AN$2:$AR$62</definedName>
    <definedName name="_19.02">'JHS-19'!$C$2:$K$62</definedName>
    <definedName name="_19.03">'JHS-19'!$L$2:$T$62</definedName>
    <definedName name="_19.04">'JHS-19'!$U$2:$AD$62</definedName>
    <definedName name="_19.05">'JHS-19'!$AE$2:$AM$63</definedName>
    <definedName name="_20.01_Power_Costs">'JHS-20'!$A$2:$E$40</definedName>
    <definedName name="_20.02_LSR_project">'JHS-20'!$F$2:$J$38</definedName>
    <definedName name="_20.03_LSR_transmission_deposits">'JHS-20'!$K$2:$O$33</definedName>
    <definedName name="_20.04_Montana">'JHS-20'!$P$2:$T$21</definedName>
    <definedName name="_20.05_Wild_Horse">'JHS-20'!$U$2:$Y$26</definedName>
    <definedName name="_20.06_ASC_815">'JHS-20'!$Z$2:$AD$21</definedName>
    <definedName name="_20.07_storm">'JHS-20'!$AE$2:$AJ$60</definedName>
    <definedName name="_20.08_remove_tenaska_costs">'JHS-20'!$AK$2:$AO$43</definedName>
    <definedName name="_20.09_conrtact_payments_chelan">'JHS-20'!$AP$2:$AT$32</definedName>
    <definedName name="_20.10_Reg_Asset">'JHS-20'!$AU$2:$AY$63</definedName>
    <definedName name="_20.11_Prod_Adj">'JHS-20'!$AZ$2:$BD$107</definedName>
    <definedName name="_20.12_LSR_Deferral">'JHS-20'!$BE$2:$BI$28</definedName>
    <definedName name="_21.01_Temp_Norm">'JHS-21'!$A$2:$G$53</definedName>
    <definedName name="_21.02_Revenues_Expenses">'JHS-21'!$H$2:$L$59</definedName>
    <definedName name="_21.03_Pass_through_Rev_Exp">'JHS-21'!$M$2:$Q$44</definedName>
    <definedName name="_21.04_Federal_Income_Tax">'JHS-21'!$R$2:$U$37</definedName>
    <definedName name="_21.05_Tax_Benefit_Interest">'JHS-21'!$V$2:$Y$23</definedName>
    <definedName name="_21.06_Miscellaneous_Op_Exp">'JHS-21'!$Z$2:$AD$32</definedName>
    <definedName name="_21.07_General_Plant_Depreciation">'JHS-21'!$AE$2:$AI$25</definedName>
    <definedName name="_21.08_Norm_Injuries_Damages">'JHS-21'!$AJ$2:$AN$20</definedName>
    <definedName name="_21.09_Bad_Debts">'JHS-21'!$AO$2:$AW$28</definedName>
    <definedName name="_21.10_Incentive_Pay">'JHS-21'!$AX$2:$BB$30</definedName>
    <definedName name="_21.11_Property_Taxes">'JHS-21'!$BC$2:$BH$19</definedName>
    <definedName name="_21.12_Excise_Tax_Filing_Fee">'JHS-21'!$BI$2:$BL$24</definedName>
    <definedName name="_21.13_Directors_Officers_Insurance">'JHS-21'!$BM$2:$BQ$21</definedName>
    <definedName name="_21.14_Int_Customer_Deposits">'JHS-21'!$BR$2:$BU$15</definedName>
    <definedName name="_21.15_Rate_Case_Expenses">'JHS-21'!$BV$2:$BY$31</definedName>
    <definedName name="_21.16_Defferred_Gains_Losses">'JHS-21'!$BZ$2:$CC$31</definedName>
    <definedName name="_21.17_Property_Liability_Insurance">'JHS-21'!$CD$2:$CH$20</definedName>
    <definedName name="_21.18_Pension_Plan">'JHS-21'!$CI$2:$CM$20</definedName>
    <definedName name="_21.19_Wage_Increase">'JHS-21'!$CN$2:$CR$29</definedName>
    <definedName name="_21.20_Investment_Plan">'JHS-21'!$CS$2:$CW$40</definedName>
    <definedName name="_21.21_Employee_Insurance">'JHS-21'!$CX$2:$DB$24</definedName>
    <definedName name="_21.22_WC">'JHS-21'!$DC$2:$DG$14</definedName>
    <definedName name="_22.01" localSheetId="5">'JHS-22'!$A$2:$C$25</definedName>
    <definedName name="_22.02" localSheetId="5">'JHS-22'!$D$2:$H$23</definedName>
    <definedName name="_22.03">'JHS-22'!$I$2:$M$21</definedName>
    <definedName name="_FEDERAL_INCOME_TAX">'[2]MJS-14'!$N$21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_six6" localSheetId="7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8" hidden="1">{#N/A,#N/A,FALSE,"CRPT";#N/A,#N/A,FALSE,"TREND";#N/A,#N/A,FALSE,"%Curve"}</definedName>
    <definedName name="_www1" localSheetId="7" hidden="1">{#N/A,#N/A,FALSE,"schA"}</definedName>
    <definedName name="_www1" localSheetId="0" hidden="1">{#N/A,#N/A,FALSE,"schA"}</definedName>
    <definedName name="_www1" localSheetId="8" hidden="1">{#N/A,#N/A,FALSE,"schA"}</definedName>
    <definedName name="a" localSheetId="18" hidden="1">{#N/A,#N/A,FALSE,"Coversheet";#N/A,#N/A,FALSE,"QA"}</definedName>
    <definedName name="a" localSheetId="7" hidden="1">{#N/A,#N/A,FALSE,"Coversheet";#N/A,#N/A,FALSE,"QA"}</definedName>
    <definedName name="a" localSheetId="0" hidden="1">{#N/A,#N/A,FALSE,"Coversheet";#N/A,#N/A,FALSE,"QA"}</definedName>
    <definedName name="a" localSheetId="8" hidden="1">{#N/A,#N/A,FALSE,"Coversheet";#N/A,#N/A,FALSE,"QA"}</definedName>
    <definedName name="a" localSheetId="2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localSheetId="18" hidden="1">{#N/A,#N/A,FALSE,"Coversheet";#N/A,#N/A,FALSE,"QA"}</definedName>
    <definedName name="b" localSheetId="7" hidden="1">{#N/A,#N/A,FALSE,"Coversheet";#N/A,#N/A,FALSE,"QA"}</definedName>
    <definedName name="b" localSheetId="0" hidden="1">{#N/A,#N/A,FALSE,"Coversheet";#N/A,#N/A,FALSE,"QA"}</definedName>
    <definedName name="b" localSheetId="8" hidden="1">{#N/A,#N/A,FALSE,"Coversheet";#N/A,#N/A,FALSE,"QA"}</definedName>
    <definedName name="b" localSheetId="22" hidden="1">{#N/A,#N/A,FALSE,"Coversheet";#N/A,#N/A,FALSE,"QA"}</definedName>
    <definedName name="b" localSheetId="23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CBWorkbookPriority" hidden="1">-2060790043</definedName>
    <definedName name="DELETE01" localSheetId="18" hidden="1">{#N/A,#N/A,FALSE,"Coversheet";#N/A,#N/A,FALSE,"QA"}</definedName>
    <definedName name="DELETE01" localSheetId="7" hidden="1">{#N/A,#N/A,FALSE,"Coversheet";#N/A,#N/A,FALSE,"QA"}</definedName>
    <definedName name="DELETE01" localSheetId="0" hidden="1">{#N/A,#N/A,FALSE,"Coversheet";#N/A,#N/A,FALSE,"QA"}</definedName>
    <definedName name="DELETE01" localSheetId="8" hidden="1">{#N/A,#N/A,FALSE,"Coversheet";#N/A,#N/A,FALSE,"QA"}</definedName>
    <definedName name="DELETE01" localSheetId="22" hidden="1">{#N/A,#N/A,FALSE,"Coversheet";#N/A,#N/A,FALSE,"QA"}</definedName>
    <definedName name="DELETE01" localSheetId="23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2" localSheetId="18" hidden="1">{#N/A,#N/A,FALSE,"Schedule F";#N/A,#N/A,FALSE,"Schedule G"}</definedName>
    <definedName name="DELETE02" localSheetId="7" hidden="1">{#N/A,#N/A,FALSE,"Schedule F";#N/A,#N/A,FALSE,"Schedule G"}</definedName>
    <definedName name="DELETE02" localSheetId="0" hidden="1">{#N/A,#N/A,FALSE,"Schedule F";#N/A,#N/A,FALSE,"Schedule G"}</definedName>
    <definedName name="DELETE02" localSheetId="8" hidden="1">{#N/A,#N/A,FALSE,"Schedule F";#N/A,#N/A,FALSE,"Schedule G"}</definedName>
    <definedName name="DELETE02" localSheetId="22" hidden="1">{#N/A,#N/A,FALSE,"Schedule F";#N/A,#N/A,FALSE,"Schedule G"}</definedName>
    <definedName name="DELETE02" localSheetId="23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6" localSheetId="18" hidden="1">{#N/A,#N/A,FALSE,"Coversheet";#N/A,#N/A,FALSE,"QA"}</definedName>
    <definedName name="Delete06" localSheetId="14" hidden="1">{#N/A,#N/A,FALSE,"Coversheet";#N/A,#N/A,FALSE,"QA"}</definedName>
    <definedName name="Delete06" localSheetId="7" hidden="1">{#N/A,#N/A,FALSE,"Coversheet";#N/A,#N/A,FALSE,"QA"}</definedName>
    <definedName name="Delete06" localSheetId="0" hidden="1">{#N/A,#N/A,FALSE,"Coversheet";#N/A,#N/A,FALSE,"QA"}</definedName>
    <definedName name="Delete06" localSheetId="8" hidden="1">{#N/A,#N/A,FALSE,"Coversheet";#N/A,#N/A,FALSE,"QA"}</definedName>
    <definedName name="Delete06" localSheetId="22" hidden="1">{#N/A,#N/A,FALSE,"Coversheet";#N/A,#N/A,FALSE,"QA"}</definedName>
    <definedName name="Delete06" localSheetId="23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9" localSheetId="18" hidden="1">{#N/A,#N/A,FALSE,"Coversheet";#N/A,#N/A,FALSE,"QA"}</definedName>
    <definedName name="Delete09" localSheetId="7" hidden="1">{#N/A,#N/A,FALSE,"Coversheet";#N/A,#N/A,FALSE,"QA"}</definedName>
    <definedName name="Delete09" localSheetId="0" hidden="1">{#N/A,#N/A,FALSE,"Coversheet";#N/A,#N/A,FALSE,"QA"}</definedName>
    <definedName name="Delete09" localSheetId="8" hidden="1">{#N/A,#N/A,FALSE,"Coversheet";#N/A,#N/A,FALSE,"QA"}</definedName>
    <definedName name="Delete09" localSheetId="23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1" localSheetId="18" hidden="1">{#N/A,#N/A,FALSE,"Coversheet";#N/A,#N/A,FALSE,"QA"}</definedName>
    <definedName name="Delete1" localSheetId="7" hidden="1">{#N/A,#N/A,FALSE,"Coversheet";#N/A,#N/A,FALSE,"QA"}</definedName>
    <definedName name="Delete1" localSheetId="0" hidden="1">{#N/A,#N/A,FALSE,"Coversheet";#N/A,#N/A,FALSE,"QA"}</definedName>
    <definedName name="Delete1" localSheetId="8" hidden="1">{#N/A,#N/A,FALSE,"Coversheet";#N/A,#N/A,FALSE,"QA"}</definedName>
    <definedName name="Delete1" localSheetId="22" hidden="1">{#N/A,#N/A,FALSE,"Coversheet";#N/A,#N/A,FALSE,"QA"}</definedName>
    <definedName name="Delete1" localSheetId="23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0" localSheetId="18" hidden="1">{#N/A,#N/A,FALSE,"Schedule F";#N/A,#N/A,FALSE,"Schedule G"}</definedName>
    <definedName name="Delete10" localSheetId="7" hidden="1">{#N/A,#N/A,FALSE,"Schedule F";#N/A,#N/A,FALSE,"Schedule G"}</definedName>
    <definedName name="Delete10" localSheetId="0" hidden="1">{#N/A,#N/A,FALSE,"Schedule F";#N/A,#N/A,FALSE,"Schedule G"}</definedName>
    <definedName name="Delete10" localSheetId="8" hidden="1">{#N/A,#N/A,FALSE,"Schedule F";#N/A,#N/A,FALSE,"Schedule G"}</definedName>
    <definedName name="Delete10" localSheetId="23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21" localSheetId="18" hidden="1">{#N/A,#N/A,FALSE,"Coversheet";#N/A,#N/A,FALSE,"QA"}</definedName>
    <definedName name="Delete21" localSheetId="7" hidden="1">{#N/A,#N/A,FALSE,"Coversheet";#N/A,#N/A,FALSE,"QA"}</definedName>
    <definedName name="Delete21" localSheetId="0" hidden="1">{#N/A,#N/A,FALSE,"Coversheet";#N/A,#N/A,FALSE,"QA"}</definedName>
    <definedName name="Delete21" localSheetId="8" hidden="1">{#N/A,#N/A,FALSE,"Coversheet";#N/A,#N/A,FALSE,"QA"}</definedName>
    <definedName name="Delete21" localSheetId="22" hidden="1">{#N/A,#N/A,FALSE,"Coversheet";#N/A,#N/A,FALSE,"QA"}</definedName>
    <definedName name="Delete21" localSheetId="23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FIT" localSheetId="18" hidden="1">{#N/A,#N/A,FALSE,"Coversheet";#N/A,#N/A,FALSE,"QA"}</definedName>
    <definedName name="DFIT" localSheetId="7" hidden="1">{#N/A,#N/A,FALSE,"Coversheet";#N/A,#N/A,FALSE,"QA"}</definedName>
    <definedName name="DFIT" localSheetId="0" hidden="1">{#N/A,#N/A,FALSE,"Coversheet";#N/A,#N/A,FALSE,"QA"}</definedName>
    <definedName name="DFIT" localSheetId="8" hidden="1">{#N/A,#N/A,FALSE,"Coversheet";#N/A,#N/A,FALSE,"QA"}</definedName>
    <definedName name="DFIT" localSheetId="23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OCKET">'[2]MJS-13'!$A$9</definedName>
    <definedName name="DocketNumber">'JHS-19'!$AR$2</definedName>
    <definedName name="ee" hidden="1">{#N/A,#N/A,FALSE,"Month ";#N/A,#N/A,FALSE,"YTD";#N/A,#N/A,FALSE,"12 mo ended"}</definedName>
    <definedName name="Estimate" localSheetId="7" hidden="1">{#N/A,#N/A,FALSE,"Summ";#N/A,#N/A,FALSE,"General"}</definedName>
    <definedName name="Estimate" localSheetId="0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localSheetId="0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Exhibit_No.______JHS_06">'JHS-21'!$G$3</definedName>
    <definedName name="Exhibit_No.______JHS_09">'JHS-25 Ex A-2'!$I$2</definedName>
    <definedName name="Exhibit_No.______JHS_4">'JHS-19'!$AR$3</definedName>
    <definedName name="Exhibit_No.______MJS_4">'[2]MJS-11'!$O$3</definedName>
    <definedName name="Exhibit_No.______MJS_5">'[2]MJS-12'!$E$3</definedName>
    <definedName name="Exhibit_No.______MJS_6">'[2]MJS-13'!$F$3</definedName>
    <definedName name="Exhibit_No._____JHS_05">'JHS-20'!$E$3</definedName>
    <definedName name="Exhibit_No._____JHS_07">'JHS-22'!$M$3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'[3]Map Table'!$E$4:$F$72</definedName>
    <definedName name="FERC_Lookup2">'[3]Map Table'!$C$4:$D$94</definedName>
    <definedName name="FIT">'JHS-22'!$L$20</definedName>
    <definedName name="HELP" hidden="1">{#N/A,#N/A,FALSE,"Coversheet";#N/A,#N/A,FALSE,"QA"}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7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localSheetId="0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4">'DEM RY PC'!$A$1:$P$31</definedName>
    <definedName name="_xlnm.Print_Area" localSheetId="1">'JHS-19'!$A$1:$AT$62</definedName>
    <definedName name="_xlnm.Print_Area" localSheetId="2">'JHS-20'!$P$2:$T$26</definedName>
    <definedName name="_xlnm.Print_Area" localSheetId="3">'JHS-20.01(A)'!$A$1:$N$40</definedName>
    <definedName name="_xlnm.Print_Area" localSheetId="4">'JHS-21'!$A$2:$G$56</definedName>
    <definedName name="_xlnm.Print_Area" localSheetId="5">'JHS-22'!$D$2:$H$34</definedName>
    <definedName name="_xlnm.Print_Area" localSheetId="6">'JHS-23'!$A$1:$L$46</definedName>
    <definedName name="_xlnm.Print_Area" localSheetId="0">'JHS-25 Ex A-1'!$A$1:$J$49</definedName>
    <definedName name="_xlnm.Print_Area" localSheetId="10">'JHS-25 Ex A-4'!$A$1:$F$121</definedName>
    <definedName name="_xlnm.Print_Area" localSheetId="23">'ProdO&amp;M'!$A$1:$X$58</definedName>
    <definedName name="_xlnm.Print_Area" localSheetId="12">'RATE SPREAD'!$A$1:$K$40</definedName>
    <definedName name="_xlnm.Print_Area" localSheetId="13">'SPEC CONT + FIRM RESALE INC'!$A$1:$K$28</definedName>
    <definedName name="_xlnm.Print_Titles" localSheetId="1">'JHS-19'!$A:$B</definedName>
    <definedName name="_xlnm.Print_Titles" localSheetId="2">'JHS-20'!$2:$11</definedName>
    <definedName name="PSE">'[2]MJS-13'!$A$6</definedName>
    <definedName name="qqq" localSheetId="7" hidden="1">{#N/A,#N/A,FALSE,"schA"}</definedName>
    <definedName name="qqq" localSheetId="0" hidden="1">{#N/A,#N/A,FALSE,"schA"}</definedName>
    <definedName name="qqq" localSheetId="8" hidden="1">{#N/A,#N/A,FALSE,"schA"}</definedName>
    <definedName name="resource_name_lookup">'[3]Map Table'!$B$4:$C$98</definedName>
    <definedName name="six" localSheetId="7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TE_UTILITY_TAX">'[2]MJS-14'!$N$16</definedName>
    <definedName name="Summary">'JHS-19'!$AN$2:$AR$62</definedName>
    <definedName name="t" localSheetId="7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7" hidden="1">{#N/A,#N/A,FALSE,"Summ";#N/A,#N/A,FALSE,"General"}</definedName>
    <definedName name="TEMP" localSheetId="0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'JHS-21'!$A$7</definedName>
    <definedName name="TESTYEAR1">'JHS-21'!$A$8</definedName>
    <definedName name="u" localSheetId="7" hidden="1">{#N/A,#N/A,FALSE,"Summ";#N/A,#N/A,FALSE,"General"}</definedName>
    <definedName name="u" localSheetId="0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7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23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ECR." localSheetId="7" hidden="1">{#N/A,#N/A,FALSE,"schA"}</definedName>
    <definedName name="wrn.ECR." localSheetId="0" hidden="1">{#N/A,#N/A,FALSE,"schA"}</definedName>
    <definedName name="wrn.ECR." localSheetId="8" hidden="1">{#N/A,#N/A,FALSE,"schA"}</definedName>
    <definedName name="wrn.ESTIMATE." localSheetId="7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22" hidden="1">{#N/A,#N/A,TRUE,"CoverPage";#N/A,#N/A,TRUE,"Gas";#N/A,#N/A,TRUE,"Power";#N/A,#N/A,TRUE,"Historical DJ Mthly Prices"}</definedName>
    <definedName name="wrn.Fundamental." localSheetId="23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8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22" hidden="1">{#N/A,#N/A,FALSE,"Coversheet";#N/A,#N/A,FALSE,"QA"}</definedName>
    <definedName name="wrn.Incentive._.Overhead." localSheetId="23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limit_reports." localSheetId="1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22" hidden="1">{#N/A,#N/A,FALSE,"Schedule F";#N/A,#N/A,FALSE,"Schedule G"}</definedName>
    <definedName name="wrn.limit_reports." localSheetId="23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MARGIN_WO_QTR." localSheetId="1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22" hidden="1">{#N/A,#N/A,FALSE,"Month ";#N/A,#N/A,FALSE,"YTD";#N/A,#N/A,FALSE,"12 mo ended"}</definedName>
    <definedName name="wrn.MARGIN_WO_QTR." localSheetId="23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unicipal._.Reports.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localSheetId="0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23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ummary." localSheetId="7" hidden="1">{#N/A,#N/A,FALSE,"Summ";#N/A,#N/A,FALSE,"General"}</definedName>
    <definedName name="wrn.Summary." localSheetId="0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UTC_Docket_No._UG_11____">'[2]MJS-13'!$F$2</definedName>
    <definedName name="WUTC_FILING_FEE">'[2]MJS-14'!$O$15</definedName>
    <definedName name="www" localSheetId="7" hidden="1">{#N/A,#N/A,FALSE,"schA"}</definedName>
    <definedName name="www" localSheetId="0" hidden="1">{#N/A,#N/A,FALSE,"schA"}</definedName>
    <definedName name="www" localSheetId="8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03B5CB54_D950_4809_9BFA_B5E91687BDB2_.wvu.PrintArea" localSheetId="8" hidden="1">'JHS-25 Ex A-2'!$A$4:$E$46</definedName>
    <definedName name="Z_03B5CB54_D950_4809_9BFA_B5E91687BDB2_.wvu.Rows" localSheetId="3" hidden="1">'JHS-20.01(A)'!#REF!</definedName>
    <definedName name="Z_067119CC_1C61_43DB_B4BB_54397DC63A91_.wvu.Cols" localSheetId="24" hidden="1">'EB&amp;Taxes'!$E:$E</definedName>
    <definedName name="Z_067119CC_1C61_43DB_B4BB_54397DC63A91_.wvu.PrintArea" localSheetId="0" hidden="1">'JHS-25 Ex A-1'!$A$4:$H$55</definedName>
    <definedName name="Z_067119CC_1C61_43DB_B4BB_54397DC63A91_.wvu.PrintArea" localSheetId="25" hidden="1">TransmRev!$A$1:$F$44</definedName>
    <definedName name="Z_067119CC_1C61_43DB_B4BB_54397DC63A91_.wvu.PrintTitles" localSheetId="18" hidden="1">'557'!$1:$9</definedName>
    <definedName name="Z_067119CC_1C61_43DB_B4BB_54397DC63A91_.wvu.PrintTitles" localSheetId="24" hidden="1">'EB&amp;Taxes'!$1:$6</definedName>
    <definedName name="Z_08940AE3_2B39_4679_8F23_53091628DE22_.wvu.Cols" localSheetId="9" hidden="1">'JHS-25 Ex A-3'!#REF!</definedName>
    <definedName name="Z_08940AE3_2B39_4679_8F23_53091628DE22_.wvu.PrintArea" localSheetId="9" hidden="1">'JHS-25 Ex A-3'!$A$1:$H$66</definedName>
    <definedName name="Z_0F2CC7FB_658B_4076_B2F4_70F2E8A73C62_.wvu.Cols" localSheetId="9" hidden="1">'JHS-25 Ex A-3'!#REF!</definedName>
    <definedName name="Z_0F2CC7FB_658B_4076_B2F4_70F2E8A73C62_.wvu.PrintArea" localSheetId="9" hidden="1">'JHS-25 Ex A-3'!$A$1:$H$66</definedName>
    <definedName name="Z_109A6FD5_7A38_487C_9B51_9E942A2A6DF7_.wvu.Rows" localSheetId="3" hidden="1">'JHS-20.01(A)'!#REF!</definedName>
    <definedName name="Z_124C812C_4A2C_4F7A_9C51_0C1396FF6214_.wvu.Cols" localSheetId="9" hidden="1">'JHS-25 Ex A-3'!#REF!</definedName>
    <definedName name="Z_124C812C_4A2C_4F7A_9C51_0C1396FF6214_.wvu.PrintArea" localSheetId="9" hidden="1">'JHS-25 Ex A-3'!$A$1:$H$66</definedName>
    <definedName name="Z_14262664_129C_4E9B_8245_4B43AF19E33A_.wvu.Cols" localSheetId="24" hidden="1">'EB&amp;Taxes'!$E:$E</definedName>
    <definedName name="Z_14262664_129C_4E9B_8245_4B43AF19E33A_.wvu.PrintArea" localSheetId="0" hidden="1">'JHS-25 Ex A-1'!$A$4:$H$55</definedName>
    <definedName name="Z_14262664_129C_4E9B_8245_4B43AF19E33A_.wvu.PrintArea" localSheetId="25" hidden="1">TransmRev!$A$1:$F$44</definedName>
    <definedName name="Z_14262664_129C_4E9B_8245_4B43AF19E33A_.wvu.PrintTitles" localSheetId="18" hidden="1">'557'!$1:$9</definedName>
    <definedName name="Z_14262664_129C_4E9B_8245_4B43AF19E33A_.wvu.PrintTitles" localSheetId="24" hidden="1">'EB&amp;Taxes'!$1:$6</definedName>
    <definedName name="Z_17768135_68BF_4539_94C0_50ED7816A698_.wvu.Cols" localSheetId="24" hidden="1">'EB&amp;Taxes'!$E:$E</definedName>
    <definedName name="Z_17768135_68BF_4539_94C0_50ED7816A698_.wvu.PrintArea" localSheetId="0" hidden="1">'JHS-25 Ex A-1'!$A$4:$H$55</definedName>
    <definedName name="Z_17768135_68BF_4539_94C0_50ED7816A698_.wvu.PrintArea" localSheetId="25" hidden="1">TransmRev!$A$1:$F$44</definedName>
    <definedName name="Z_17768135_68BF_4539_94C0_50ED7816A698_.wvu.PrintTitles" localSheetId="18" hidden="1">'557'!$1:$9</definedName>
    <definedName name="Z_17768135_68BF_4539_94C0_50ED7816A698_.wvu.PrintTitles" localSheetId="24" hidden="1">'EB&amp;Taxes'!$1:$6</definedName>
    <definedName name="Z_1E64D771_8C52_4EFE_8F0D_67326F432767_.wvu.Cols" localSheetId="24" hidden="1">'EB&amp;Taxes'!$E:$E</definedName>
    <definedName name="Z_1E64D771_8C52_4EFE_8F0D_67326F432767_.wvu.PrintArea" localSheetId="0" hidden="1">'JHS-25 Ex A-1'!$A$4:$H$55</definedName>
    <definedName name="Z_1E64D771_8C52_4EFE_8F0D_67326F432767_.wvu.PrintArea" localSheetId="25" hidden="1">TransmRev!$A$1:$F$44</definedName>
    <definedName name="Z_1E64D771_8C52_4EFE_8F0D_67326F432767_.wvu.PrintTitles" localSheetId="18" hidden="1">'557'!$1:$9</definedName>
    <definedName name="Z_1E64D771_8C52_4EFE_8F0D_67326F432767_.wvu.PrintTitles" localSheetId="24" hidden="1">'EB&amp;Taxes'!$1:$6</definedName>
    <definedName name="Z_2396DC2C_402A_4916_91F9_9FDB5C342408_.wvu.PrintArea" localSheetId="8" hidden="1">'JHS-25 Ex A-2'!$A$4:$E$46</definedName>
    <definedName name="Z_2396DC2C_402A_4916_91F9_9FDB5C342408_.wvu.Rows" localSheetId="3" hidden="1">'JHS-20.01(A)'!#REF!</definedName>
    <definedName name="Z_28C5A156_92F3_4234_9C7A_A32D75F798CC_.wvu.Cols" localSheetId="24" hidden="1">'EB&amp;Taxes'!$E:$E</definedName>
    <definedName name="Z_28C5A156_92F3_4234_9C7A_A32D75F798CC_.wvu.PrintArea" localSheetId="0" hidden="1">'JHS-25 Ex A-1'!$A$4:$H$55</definedName>
    <definedName name="Z_28C5A156_92F3_4234_9C7A_A32D75F798CC_.wvu.PrintArea" localSheetId="25" hidden="1">TransmRev!$A$1:$F$44</definedName>
    <definedName name="Z_28C5A156_92F3_4234_9C7A_A32D75F798CC_.wvu.PrintTitles" localSheetId="18" hidden="1">'557'!$1:$9</definedName>
    <definedName name="Z_28C5A156_92F3_4234_9C7A_A32D75F798CC_.wvu.PrintTitles" localSheetId="24" hidden="1">'EB&amp;Taxes'!$1:$6</definedName>
    <definedName name="Z_2DBDF3D7_BA4D_404D_AE4B_DFD7008C0411_.wvu.Cols" localSheetId="24" hidden="1">'EB&amp;Taxes'!$E:$E</definedName>
    <definedName name="Z_2DBDF3D7_BA4D_404D_AE4B_DFD7008C0411_.wvu.PrintArea" localSheetId="0" hidden="1">'JHS-25 Ex A-1'!$A$4:$H$55</definedName>
    <definedName name="Z_2DBDF3D7_BA4D_404D_AE4B_DFD7008C0411_.wvu.PrintArea" localSheetId="25" hidden="1">TransmRev!$A$1:$F$44</definedName>
    <definedName name="Z_2DBDF3D7_BA4D_404D_AE4B_DFD7008C0411_.wvu.PrintTitles" localSheetId="18" hidden="1">'557'!$1:$9</definedName>
    <definedName name="Z_2DBDF3D7_BA4D_404D_AE4B_DFD7008C0411_.wvu.PrintTitles" localSheetId="24" hidden="1">'EB&amp;Taxes'!$1:$6</definedName>
    <definedName name="Z_30171EF4_8F5E_4A73_A7BD_AC361852ECC0_.wvu.Rows" localSheetId="3" hidden="1">'JHS-20.01(A)'!#REF!</definedName>
    <definedName name="Z_323B199E_96B9_4DC6_8637_E126F9BA7C08_.wvu.Rows" localSheetId="3" hidden="1">'JHS-20.01(A)'!#REF!</definedName>
    <definedName name="Z_33B41F79_FD24_4F36_8296_4697334AAAA8_.wvu.Cols" localSheetId="9" hidden="1">'JHS-25 Ex A-3'!#REF!</definedName>
    <definedName name="Z_360E262E_5544_471B_8912_5783F5DDE4E1_.wvu.Cols" localSheetId="9" hidden="1">'JHS-25 Ex A-3'!#REF!</definedName>
    <definedName name="Z_360E262E_5544_471B_8912_5783F5DDE4E1_.wvu.PrintArea" localSheetId="9" hidden="1">'JHS-25 Ex A-3'!$A$1:$H$66</definedName>
    <definedName name="Z_3797879C_3298_4122_A12D_3DFD0284FBDD_.wvu.Cols" localSheetId="24" hidden="1">'EB&amp;Taxes'!$E:$E</definedName>
    <definedName name="Z_3797879C_3298_4122_A12D_3DFD0284FBDD_.wvu.PrintArea" localSheetId="0" hidden="1">'JHS-25 Ex A-1'!$A$4:$H$55</definedName>
    <definedName name="Z_3797879C_3298_4122_A12D_3DFD0284FBDD_.wvu.PrintArea" localSheetId="25" hidden="1">TransmRev!$A$1:$F$44</definedName>
    <definedName name="Z_3797879C_3298_4122_A12D_3DFD0284FBDD_.wvu.PrintTitles" localSheetId="18" hidden="1">'557'!$1:$9</definedName>
    <definedName name="Z_3797879C_3298_4122_A12D_3DFD0284FBDD_.wvu.PrintTitles" localSheetId="24" hidden="1">'EB&amp;Taxes'!$1:$6</definedName>
    <definedName name="Z_3834E606_B28A_4696_9192_7BDA898195A1_.wvu.Cols" localSheetId="24" hidden="1">'EB&amp;Taxes'!$E:$E</definedName>
    <definedName name="Z_3834E606_B28A_4696_9192_7BDA898195A1_.wvu.PrintArea" localSheetId="0" hidden="1">'JHS-25 Ex A-1'!$A$4:$H$55</definedName>
    <definedName name="Z_3834E606_B28A_4696_9192_7BDA898195A1_.wvu.PrintArea" localSheetId="25" hidden="1">TransmRev!$A$1:$F$44</definedName>
    <definedName name="Z_3834E606_B28A_4696_9192_7BDA898195A1_.wvu.PrintTitles" localSheetId="18" hidden="1">'557'!$1:$9</definedName>
    <definedName name="Z_3834E606_B28A_4696_9192_7BDA898195A1_.wvu.PrintTitles" localSheetId="24" hidden="1">'EB&amp;Taxes'!$1:$6</definedName>
    <definedName name="Z_3DB8EC99_BD55_4ABF_B71E_F70797B0173C_.wvu.Cols" localSheetId="24" hidden="1">'EB&amp;Taxes'!$E:$E</definedName>
    <definedName name="Z_3DB8EC99_BD55_4ABF_B71E_F70797B0173C_.wvu.PrintArea" localSheetId="0" hidden="1">'JHS-25 Ex A-1'!$A$4:$H$55</definedName>
    <definedName name="Z_3DB8EC99_BD55_4ABF_B71E_F70797B0173C_.wvu.PrintArea" localSheetId="25" hidden="1">TransmRev!$A$1:$F$44</definedName>
    <definedName name="Z_3DB8EC99_BD55_4ABF_B71E_F70797B0173C_.wvu.PrintTitles" localSheetId="18" hidden="1">'557'!$1:$9</definedName>
    <definedName name="Z_3DB8EC99_BD55_4ABF_B71E_F70797B0173C_.wvu.PrintTitles" localSheetId="24" hidden="1">'EB&amp;Taxes'!$1:$6</definedName>
    <definedName name="Z_40B7FB48_DAE3_4682_852F_AC0650D2BE14_.wvu.Cols" localSheetId="24" hidden="1">'EB&amp;Taxes'!$E:$E</definedName>
    <definedName name="Z_40B7FB48_DAE3_4682_852F_AC0650D2BE14_.wvu.PrintArea" localSheetId="0" hidden="1">'JHS-25 Ex A-1'!$A$4:$H$55</definedName>
    <definedName name="Z_40B7FB48_DAE3_4682_852F_AC0650D2BE14_.wvu.PrintArea" localSheetId="25" hidden="1">TransmRev!$A$1:$F$44</definedName>
    <definedName name="Z_40B7FB48_DAE3_4682_852F_AC0650D2BE14_.wvu.PrintTitles" localSheetId="18" hidden="1">'557'!$1:$9</definedName>
    <definedName name="Z_40B7FB48_DAE3_4682_852F_AC0650D2BE14_.wvu.PrintTitles" localSheetId="24" hidden="1">'EB&amp;Taxes'!$1:$6</definedName>
    <definedName name="Z_41713566_6DDC_4C14_8259_D9C15B9E45DD_.wvu.Cols" localSheetId="24" hidden="1">'EB&amp;Taxes'!$E:$E</definedName>
    <definedName name="Z_41713566_6DDC_4C14_8259_D9C15B9E45DD_.wvu.PrintArea" localSheetId="0" hidden="1">'JHS-25 Ex A-1'!$A$4:$H$55</definedName>
    <definedName name="Z_41713566_6DDC_4C14_8259_D9C15B9E45DD_.wvu.PrintArea" localSheetId="25" hidden="1">TransmRev!$A$1:$F$44</definedName>
    <definedName name="Z_41713566_6DDC_4C14_8259_D9C15B9E45DD_.wvu.PrintTitles" localSheetId="18" hidden="1">'557'!$1:$9</definedName>
    <definedName name="Z_41713566_6DDC_4C14_8259_D9C15B9E45DD_.wvu.PrintTitles" localSheetId="24" hidden="1">'EB&amp;Taxes'!$1:$6</definedName>
    <definedName name="Z_423F2953_9177_4482_AE78_C7C47BA8995B_.wvu.Cols" localSheetId="24" hidden="1">'EB&amp;Taxes'!$E:$E</definedName>
    <definedName name="Z_423F2953_9177_4482_AE78_C7C47BA8995B_.wvu.PrintArea" localSheetId="0" hidden="1">'JHS-25 Ex A-1'!$A$4:$H$55</definedName>
    <definedName name="Z_423F2953_9177_4482_AE78_C7C47BA8995B_.wvu.PrintArea" localSheetId="25" hidden="1">TransmRev!$A$1:$F$44</definedName>
    <definedName name="Z_423F2953_9177_4482_AE78_C7C47BA8995B_.wvu.PrintTitles" localSheetId="18" hidden="1">'557'!$1:$9</definedName>
    <definedName name="Z_423F2953_9177_4482_AE78_C7C47BA8995B_.wvu.PrintTitles" localSheetId="24" hidden="1">'EB&amp;Taxes'!$1:$6</definedName>
    <definedName name="Z_46E5C546_9AEA_4E06_B017_805B7E255C92_.wvu.Cols" localSheetId="24" hidden="1">'EB&amp;Taxes'!$E:$E</definedName>
    <definedName name="Z_46E5C546_9AEA_4E06_B017_805B7E255C92_.wvu.PrintArea" localSheetId="0" hidden="1">'JHS-25 Ex A-1'!$A$4:$H$55</definedName>
    <definedName name="Z_46E5C546_9AEA_4E06_B017_805B7E255C92_.wvu.PrintArea" localSheetId="25" hidden="1">TransmRev!$A$1:$F$44</definedName>
    <definedName name="Z_46E5C546_9AEA_4E06_B017_805B7E255C92_.wvu.PrintTitles" localSheetId="18" hidden="1">'557'!$1:$9</definedName>
    <definedName name="Z_46E5C546_9AEA_4E06_B017_805B7E255C92_.wvu.PrintTitles" localSheetId="24" hidden="1">'EB&amp;Taxes'!$1:$6</definedName>
    <definedName name="Z_481D4E2E_20D4_45AB_AA2C_B34407716074_.wvu.Rows" localSheetId="3" hidden="1">'JHS-20.01(A)'!#REF!</definedName>
    <definedName name="Z_4840C72E_33E7_45CF_A897_030BC56F6B90_.wvu.Cols" localSheetId="24" hidden="1">'EB&amp;Taxes'!$E:$E</definedName>
    <definedName name="Z_4840C72E_33E7_45CF_A897_030BC56F6B90_.wvu.PrintArea" localSheetId="0" hidden="1">'JHS-25 Ex A-1'!$A$4:$H$55</definedName>
    <definedName name="Z_4840C72E_33E7_45CF_A897_030BC56F6B90_.wvu.PrintArea" localSheetId="25" hidden="1">TransmRev!$A$1:$F$44</definedName>
    <definedName name="Z_4840C72E_33E7_45CF_A897_030BC56F6B90_.wvu.PrintTitles" localSheetId="18" hidden="1">'557'!$1:$9</definedName>
    <definedName name="Z_4840C72E_33E7_45CF_A897_030BC56F6B90_.wvu.PrintTitles" localSheetId="24" hidden="1">'EB&amp;Taxes'!$1:$6</definedName>
    <definedName name="Z_4E622CCD_D944_4FAF_AA88_B1B0E08B47FA_.wvu.Cols" localSheetId="9" hidden="1">'JHS-25 Ex A-3'!#REF!</definedName>
    <definedName name="Z_4E622CCD_D944_4FAF_AA88_B1B0E08B47FA_.wvu.PrintArea" localSheetId="9" hidden="1">'JHS-25 Ex A-3'!$A$1:$H$66</definedName>
    <definedName name="Z_5E49DE5F_0FCC_425D_A4A9_9AE99BAB6770_.wvu.Cols" localSheetId="9" hidden="1">'JHS-25 Ex A-3'!#REF!</definedName>
    <definedName name="Z_605C023E_A5C7_400F_9AAA_827B8FDB13A8_.wvu.Cols" localSheetId="24" hidden="1">'EB&amp;Taxes'!$E:$E</definedName>
    <definedName name="Z_605C023E_A5C7_400F_9AAA_827B8FDB13A8_.wvu.PrintArea" localSheetId="0" hidden="1">'JHS-25 Ex A-1'!$A$4:$H$55</definedName>
    <definedName name="Z_605C023E_A5C7_400F_9AAA_827B8FDB13A8_.wvu.PrintArea" localSheetId="25" hidden="1">TransmRev!$A$1:$F$44</definedName>
    <definedName name="Z_605C023E_A5C7_400F_9AAA_827B8FDB13A8_.wvu.PrintTitles" localSheetId="18" hidden="1">'557'!$1:$9</definedName>
    <definedName name="Z_605C023E_A5C7_400F_9AAA_827B8FDB13A8_.wvu.PrintTitles" localSheetId="24" hidden="1">'EB&amp;Taxes'!$1:$6</definedName>
    <definedName name="Z_62EE4FB2_B9F8_4C5D_BC5C_181361F6DD86_.wvu.Cols" localSheetId="24" hidden="1">'EB&amp;Taxes'!$E:$E</definedName>
    <definedName name="Z_62EE4FB2_B9F8_4C5D_BC5C_181361F6DD86_.wvu.PrintArea" localSheetId="0" hidden="1">'JHS-25 Ex A-1'!$A$4:$H$55</definedName>
    <definedName name="Z_62EE4FB2_B9F8_4C5D_BC5C_181361F6DD86_.wvu.PrintArea" localSheetId="25" hidden="1">TransmRev!$A$1:$F$44</definedName>
    <definedName name="Z_62EE4FB2_B9F8_4C5D_BC5C_181361F6DD86_.wvu.PrintTitles" localSheetId="18" hidden="1">'557'!$1:$9</definedName>
    <definedName name="Z_62EE4FB2_B9F8_4C5D_BC5C_181361F6DD86_.wvu.PrintTitles" localSheetId="24" hidden="1">'EB&amp;Taxes'!$1:$6</definedName>
    <definedName name="Z_663C3115_7A87_49DA_9260_EF1A41B87728_.wvu.Rows" localSheetId="3" hidden="1">'JHS-20.01(A)'!#REF!</definedName>
    <definedName name="Z_6BE2AA00_D0CA_4793_8091_7BAABD0B030C_.wvu.PrintArea" localSheetId="8" hidden="1">'JHS-25 Ex A-2'!$A$4:$E$46</definedName>
    <definedName name="Z_6BE2AA00_D0CA_4793_8091_7BAABD0B030C_.wvu.Rows" localSheetId="3" hidden="1">'JHS-20.01(A)'!#REF!</definedName>
    <definedName name="Z_6C054A84_7F92_45EC_B53F_EAC86C7019C4_.wvu.PrintArea" localSheetId="8" hidden="1">'JHS-25 Ex A-2'!$A$4:$E$46</definedName>
    <definedName name="Z_6C054A84_7F92_45EC_B53F_EAC86C7019C4_.wvu.Rows" localSheetId="3" hidden="1">'JHS-20.01(A)'!#REF!</definedName>
    <definedName name="Z_6CCD15FF_0E65_46C3_9881_A9AD5C3EA28A_.wvu.PrintArea" localSheetId="8" hidden="1">'JHS-25 Ex A-2'!$A$4:$E$46</definedName>
    <definedName name="Z_6CCD15FF_0E65_46C3_9881_A9AD5C3EA28A_.wvu.Rows" localSheetId="3" hidden="1">'JHS-20.01(A)'!#REF!</definedName>
    <definedName name="Z_71BE80D5_D2E9_4DE2_BCB0_6CDBFC730EEB_.wvu.Cols" localSheetId="9" hidden="1">'JHS-25 Ex A-3'!#REF!</definedName>
    <definedName name="Z_72FEDAE6_5818_4398_BD73_F68F64A87D77_.wvu.Cols" localSheetId="9" hidden="1">'JHS-25 Ex A-3'!#REF!</definedName>
    <definedName name="Z_73DC5D62_B5F7_4FF1_B828_872B4B4D393C_.wvu.Cols" localSheetId="9" hidden="1">'JHS-25 Ex A-3'!#REF!</definedName>
    <definedName name="Z_7765C09D_9D61_4D8B_A0C4_7C6D784C2592_.wvu.PrintArea" localSheetId="8" hidden="1">'JHS-25 Ex A-2'!$A$4:$E$46</definedName>
    <definedName name="Z_7765C09D_9D61_4D8B_A0C4_7C6D784C2592_.wvu.Rows" localSheetId="3" hidden="1">'JHS-20.01(A)'!#REF!</definedName>
    <definedName name="Z_79762E65_90C4_47A1_86F2_E82D4A20979F_.wvu.Cols" localSheetId="9" hidden="1">'JHS-25 Ex A-3'!#REF!</definedName>
    <definedName name="Z_7B9E46E5_DE40_4DE3_A131_6EB2A495D794_.wvu.Rows" localSheetId="3" hidden="1">'JHS-20.01(A)'!#REF!</definedName>
    <definedName name="Z_7BA69DB9_9629_48D1_B18D_D9C903A40CAC_.wvu.Cols" localSheetId="9" hidden="1">'JHS-25 Ex A-3'!#REF!</definedName>
    <definedName name="Z_7BB893A1_9453_4866_8DE0_1A73FD3D4375_.wvu.Cols" localSheetId="9" hidden="1">'JHS-25 Ex A-3'!#REF!</definedName>
    <definedName name="Z_813D7A4F_EDF6_49ED_B8FD_B74D0B9276AB_.wvu.Cols" localSheetId="24" hidden="1">'EB&amp;Taxes'!$E:$E</definedName>
    <definedName name="Z_813D7A4F_EDF6_49ED_B8FD_B74D0B9276AB_.wvu.PrintArea" localSheetId="0" hidden="1">'JHS-25 Ex A-1'!$A$4:$H$55</definedName>
    <definedName name="Z_813D7A4F_EDF6_49ED_B8FD_B74D0B9276AB_.wvu.PrintArea" localSheetId="25" hidden="1">TransmRev!$A$1:$F$44</definedName>
    <definedName name="Z_813D7A4F_EDF6_49ED_B8FD_B74D0B9276AB_.wvu.PrintTitles" localSheetId="18" hidden="1">'557'!$1:$9</definedName>
    <definedName name="Z_813D7A4F_EDF6_49ED_B8FD_B74D0B9276AB_.wvu.PrintTitles" localSheetId="24" hidden="1">'EB&amp;Taxes'!$1:$6</definedName>
    <definedName name="Z_83C2B01C_2BB7_44E8_9FCB_52B0216AB579_.wvu.Cols" localSheetId="9" hidden="1">'JHS-25 Ex A-3'!#REF!</definedName>
    <definedName name="Z_84213CFC_D8F9_4E4C_B010_08EF5E3F8AD7_.wvu.PrintArea" localSheetId="8" hidden="1">'JHS-25 Ex A-2'!$A$4:$E$46</definedName>
    <definedName name="Z_84213CFC_D8F9_4E4C_B010_08EF5E3F8AD7_.wvu.Rows" localSheetId="3" hidden="1">'JHS-20.01(A)'!#REF!</definedName>
    <definedName name="Z_88A240CE_F5A6_4995_A526_0E22BADCFF6D_.wvu.Cols" localSheetId="24" hidden="1">'EB&amp;Taxes'!$E:$E</definedName>
    <definedName name="Z_88A240CE_F5A6_4995_A526_0E22BADCFF6D_.wvu.PrintArea" localSheetId="0" hidden="1">'JHS-25 Ex A-1'!$A$4:$H$55</definedName>
    <definedName name="Z_88A240CE_F5A6_4995_A526_0E22BADCFF6D_.wvu.PrintArea" localSheetId="25" hidden="1">TransmRev!$A$1:$F$44</definedName>
    <definedName name="Z_88A240CE_F5A6_4995_A526_0E22BADCFF6D_.wvu.PrintTitles" localSheetId="18" hidden="1">'557'!$1:$9</definedName>
    <definedName name="Z_88A240CE_F5A6_4995_A526_0E22BADCFF6D_.wvu.PrintTitles" localSheetId="24" hidden="1">'EB&amp;Taxes'!$1:$6</definedName>
    <definedName name="Z_8920654A_B782_40BF_9A51_A43F20A27C02_.wvu.Cols" localSheetId="24" hidden="1">'EB&amp;Taxes'!$E:$E</definedName>
    <definedName name="Z_8920654A_B782_40BF_9A51_A43F20A27C02_.wvu.PrintArea" localSheetId="0" hidden="1">'JHS-25 Ex A-1'!$A$4:$H$55</definedName>
    <definedName name="Z_8920654A_B782_40BF_9A51_A43F20A27C02_.wvu.PrintArea" localSheetId="25" hidden="1">TransmRev!$A$1:$F$44</definedName>
    <definedName name="Z_8920654A_B782_40BF_9A51_A43F20A27C02_.wvu.PrintTitles" localSheetId="18" hidden="1">'557'!$1:$9</definedName>
    <definedName name="Z_8920654A_B782_40BF_9A51_A43F20A27C02_.wvu.PrintTitles" localSheetId="24" hidden="1">'EB&amp;Taxes'!$1:$6</definedName>
    <definedName name="Z_8E7EA697_A1C1_4FA5_9CC7_93304413A154_.wvu.Cols" localSheetId="24" hidden="1">'EB&amp;Taxes'!$E:$E</definedName>
    <definedName name="Z_8E7EA697_A1C1_4FA5_9CC7_93304413A154_.wvu.PrintArea" localSheetId="0" hidden="1">'JHS-25 Ex A-1'!$A$4:$H$55</definedName>
    <definedName name="Z_8E7EA697_A1C1_4FA5_9CC7_93304413A154_.wvu.PrintArea" localSheetId="25" hidden="1">TransmRev!$A$1:$F$44</definedName>
    <definedName name="Z_8E7EA697_A1C1_4FA5_9CC7_93304413A154_.wvu.PrintTitles" localSheetId="18" hidden="1">'557'!$1:$9</definedName>
    <definedName name="Z_8E7EA697_A1C1_4FA5_9CC7_93304413A154_.wvu.PrintTitles" localSheetId="24" hidden="1">'EB&amp;Taxes'!$1:$6</definedName>
    <definedName name="Z_9425E5FD_17DF_4683_9D8C_95E099A01E16_.wvu.Cols" localSheetId="9" hidden="1">'JHS-25 Ex A-3'!#REF!</definedName>
    <definedName name="Z_9425E5FD_17DF_4683_9D8C_95E099A01E16_.wvu.PrintArea" localSheetId="9" hidden="1">'JHS-25 Ex A-3'!$A$1:$H$66</definedName>
    <definedName name="Z_990691EF_FF43_4000_BCD8_6862D2BAD44A_.wvu.Cols" localSheetId="24" hidden="1">'EB&amp;Taxes'!$E:$E</definedName>
    <definedName name="Z_990691EF_FF43_4000_BCD8_6862D2BAD44A_.wvu.PrintArea" localSheetId="0" hidden="1">'JHS-25 Ex A-1'!$A$4:$H$55</definedName>
    <definedName name="Z_990691EF_FF43_4000_BCD8_6862D2BAD44A_.wvu.PrintArea" localSheetId="25" hidden="1">TransmRev!$A$1:$F$44</definedName>
    <definedName name="Z_990691EF_FF43_4000_BCD8_6862D2BAD44A_.wvu.PrintTitles" localSheetId="18" hidden="1">'557'!$1:$9</definedName>
    <definedName name="Z_990691EF_FF43_4000_BCD8_6862D2BAD44A_.wvu.PrintTitles" localSheetId="24" hidden="1">'EB&amp;Taxes'!$1:$6</definedName>
    <definedName name="Z_9DB1448B_0B06_4897_A7CD_BCAC8E925C6E_.wvu.Cols" localSheetId="9" hidden="1">'JHS-25 Ex A-3'!#REF!</definedName>
    <definedName name="Z_9EDECD17_2FEA_43EF_915A_B991229DF9B6_.wvu.Cols" localSheetId="9" hidden="1">'JHS-25 Ex A-3'!#REF!</definedName>
    <definedName name="Z_9EDECD17_2FEA_43EF_915A_B991229DF9B6_.wvu.PrintArea" localSheetId="9" hidden="1">'JHS-25 Ex A-3'!$A$1:$H$66</definedName>
    <definedName name="Z_A1FA6151_E2D3_4099_BB8D_6C3F74D8C23B_.wvu.Cols" localSheetId="9" hidden="1">'JHS-25 Ex A-3'!#REF!</definedName>
    <definedName name="Z_A3FBC4C2_6ECB_480C_89DD_35506B048870_.wvu.Cols" localSheetId="24" hidden="1">'EB&amp;Taxes'!$E:$E</definedName>
    <definedName name="Z_A3FBC4C2_6ECB_480C_89DD_35506B048870_.wvu.PrintArea" localSheetId="0" hidden="1">'JHS-25 Ex A-1'!$A$4:$H$55</definedName>
    <definedName name="Z_A3FBC4C2_6ECB_480C_89DD_35506B048870_.wvu.PrintArea" localSheetId="25" hidden="1">TransmRev!$A$1:$F$44</definedName>
    <definedName name="Z_A3FBC4C2_6ECB_480C_89DD_35506B048870_.wvu.PrintTitles" localSheetId="18" hidden="1">'557'!$1:$9</definedName>
    <definedName name="Z_A3FBC4C2_6ECB_480C_89DD_35506B048870_.wvu.PrintTitles" localSheetId="24" hidden="1">'EB&amp;Taxes'!$1:$6</definedName>
    <definedName name="Z_A5386FC6_060C_4FF8_9754_8F41ED24E370_.wvu.Rows" localSheetId="3" hidden="1">'JHS-20.01(A)'!#REF!</definedName>
    <definedName name="Z_A68D84AC_3459_4B1A_A82C_09666110CF77_.wvu.Rows" localSheetId="3" hidden="1">'JHS-20.01(A)'!#REF!</definedName>
    <definedName name="Z_ACABE5FC_E604_45C9_ACB7_53C863CA19F6_.wvu.Cols" localSheetId="24" hidden="1">'EB&amp;Taxes'!$E:$E</definedName>
    <definedName name="Z_ACABE5FC_E604_45C9_ACB7_53C863CA19F6_.wvu.PrintArea" localSheetId="0" hidden="1">'JHS-25 Ex A-1'!$A$4:$H$55</definedName>
    <definedName name="Z_ACABE5FC_E604_45C9_ACB7_53C863CA19F6_.wvu.PrintArea" localSheetId="25" hidden="1">TransmRev!$A$1:$F$44</definedName>
    <definedName name="Z_ACABE5FC_E604_45C9_ACB7_53C863CA19F6_.wvu.PrintTitles" localSheetId="18" hidden="1">'557'!$1:$9</definedName>
    <definedName name="Z_ACABE5FC_E604_45C9_ACB7_53C863CA19F6_.wvu.PrintTitles" localSheetId="24" hidden="1">'EB&amp;Taxes'!$1:$6</definedName>
    <definedName name="Z_AD88DA1E_4535_4A0F_86F8_39D7812ED88C_.wvu.Cols" localSheetId="18" hidden="1">'557'!$C:$C</definedName>
    <definedName name="Z_B1F8DC23_D716_49D3_B2ED_6AD79DCC127D_.wvu.Rows" localSheetId="3" hidden="1">'JHS-20.01(A)'!#REF!</definedName>
    <definedName name="Z_B645129D_C5C8_4408_A211_8D284ED241D4_.wvu.Rows" localSheetId="3" hidden="1">'JHS-20.01(A)'!#REF!</definedName>
    <definedName name="Z_BA39091D_C7FC_45D0_82A3_5E4EAAFABA5A_.wvu.Cols" localSheetId="24" hidden="1">'EB&amp;Taxes'!$E:$E</definedName>
    <definedName name="Z_BA39091D_C7FC_45D0_82A3_5E4EAAFABA5A_.wvu.PrintArea" localSheetId="0" hidden="1">'JHS-25 Ex A-1'!$A$4:$H$55</definedName>
    <definedName name="Z_BA39091D_C7FC_45D0_82A3_5E4EAAFABA5A_.wvu.PrintArea" localSheetId="25" hidden="1">TransmRev!$A$1:$F$44</definedName>
    <definedName name="Z_BA39091D_C7FC_45D0_82A3_5E4EAAFABA5A_.wvu.PrintTitles" localSheetId="18" hidden="1">'557'!$1:$9</definedName>
    <definedName name="Z_BA39091D_C7FC_45D0_82A3_5E4EAAFABA5A_.wvu.PrintTitles" localSheetId="24" hidden="1">'EB&amp;Taxes'!$1:$6</definedName>
    <definedName name="Z_BBEC464C_25F9_4835_BB05_13062D5DEAC1_.wvu.Cols" localSheetId="24" hidden="1">'EB&amp;Taxes'!$E:$E</definedName>
    <definedName name="Z_BBEC464C_25F9_4835_BB05_13062D5DEAC1_.wvu.PrintArea" localSheetId="0" hidden="1">'JHS-25 Ex A-1'!$A$4:$H$55</definedName>
    <definedName name="Z_BBEC464C_25F9_4835_BB05_13062D5DEAC1_.wvu.PrintArea" localSheetId="25" hidden="1">TransmRev!$A$1:$F$44</definedName>
    <definedName name="Z_BBEC464C_25F9_4835_BB05_13062D5DEAC1_.wvu.PrintTitles" localSheetId="18" hidden="1">'557'!$1:$9</definedName>
    <definedName name="Z_BBEC464C_25F9_4835_BB05_13062D5DEAC1_.wvu.PrintTitles" localSheetId="24" hidden="1">'EB&amp;Taxes'!$1:$6</definedName>
    <definedName name="Z_BFF4269F_5159_4FE7_8C1B_7EF258D66D6C_.wvu.PrintArea" localSheetId="8" hidden="1">'JHS-25 Ex A-2'!$A$4:$E$46</definedName>
    <definedName name="Z_BFF4269F_5159_4FE7_8C1B_7EF258D66D6C_.wvu.Rows" localSheetId="3" hidden="1">'JHS-20.01(A)'!#REF!</definedName>
    <definedName name="Z_C3CE34FF_D7D7_4ECF_B6E1_4700E3130E94_.wvu.Cols" localSheetId="24" hidden="1">'EB&amp;Taxes'!$E:$E</definedName>
    <definedName name="Z_C3CE34FF_D7D7_4ECF_B6E1_4700E3130E94_.wvu.PrintArea" localSheetId="0" hidden="1">'JHS-25 Ex A-1'!$A$4:$H$55</definedName>
    <definedName name="Z_C3CE34FF_D7D7_4ECF_B6E1_4700E3130E94_.wvu.PrintArea" localSheetId="25" hidden="1">TransmRev!$A$1:$F$44</definedName>
    <definedName name="Z_C3CE34FF_D7D7_4ECF_B6E1_4700E3130E94_.wvu.PrintTitles" localSheetId="18" hidden="1">'557'!$1:$9</definedName>
    <definedName name="Z_C3CE34FF_D7D7_4ECF_B6E1_4700E3130E94_.wvu.PrintTitles" localSheetId="24" hidden="1">'EB&amp;Taxes'!$1:$6</definedName>
    <definedName name="Z_C4883C13_F396_4F7E_A779_FD99A50836F3_.wvu.PrintArea" localSheetId="8" hidden="1">'JHS-25 Ex A-2'!$A$4:$E$46</definedName>
    <definedName name="Z_C4883C13_F396_4F7E_A779_FD99A50836F3_.wvu.Rows" localSheetId="3" hidden="1">'JHS-20.01(A)'!#REF!</definedName>
    <definedName name="Z_C63704F0_44AC_4DFF_9CE1_040677F2E727_.wvu.Cols" localSheetId="9" hidden="1">'JHS-25 Ex A-3'!#REF!</definedName>
    <definedName name="Z_C63704F0_44AC_4DFF_9CE1_040677F2E727_.wvu.PrintArea" localSheetId="9" hidden="1">'JHS-25 Ex A-3'!$A$1:$H$66</definedName>
    <definedName name="Z_CD5012F4_E6A6_495E_BF90_5F6D9EE7AF29_.wvu.Cols" localSheetId="24" hidden="1">'EB&amp;Taxes'!$E:$E</definedName>
    <definedName name="Z_CD5012F4_E6A6_495E_BF90_5F6D9EE7AF29_.wvu.PrintArea" localSheetId="0" hidden="1">'JHS-25 Ex A-1'!$A$4:$H$55</definedName>
    <definedName name="Z_CD5012F4_E6A6_495E_BF90_5F6D9EE7AF29_.wvu.PrintArea" localSheetId="25" hidden="1">TransmRev!$A$1:$F$44</definedName>
    <definedName name="Z_CD5012F4_E6A6_495E_BF90_5F6D9EE7AF29_.wvu.PrintTitles" localSheetId="18" hidden="1">'557'!$1:$9</definedName>
    <definedName name="Z_CD5012F4_E6A6_495E_BF90_5F6D9EE7AF29_.wvu.PrintTitles" localSheetId="24" hidden="1">'EB&amp;Taxes'!$1:$6</definedName>
    <definedName name="Z_D034A8AA_A968_4D12_B6AF_09F53E5CD513_.wvu.Cols" localSheetId="24" hidden="1">'EB&amp;Taxes'!$E:$E</definedName>
    <definedName name="Z_D034A8AA_A968_4D12_B6AF_09F53E5CD513_.wvu.PrintArea" localSheetId="0" hidden="1">'JHS-25 Ex A-1'!$A$4:$H$55</definedName>
    <definedName name="Z_D034A8AA_A968_4D12_B6AF_09F53E5CD513_.wvu.PrintArea" localSheetId="25" hidden="1">TransmRev!$A$1:$F$44</definedName>
    <definedName name="Z_D034A8AA_A968_4D12_B6AF_09F53E5CD513_.wvu.PrintTitles" localSheetId="18" hidden="1">'557'!$1:$9</definedName>
    <definedName name="Z_D034A8AA_A968_4D12_B6AF_09F53E5CD513_.wvu.PrintTitles" localSheetId="24" hidden="1">'EB&amp;Taxes'!$1:$6</definedName>
    <definedName name="Z_D15D6F26_DA6E_456D_B7F5_850E9F3039F7_.wvu.Rows" localSheetId="3" hidden="1">'JHS-20.01(A)'!#REF!</definedName>
    <definedName name="Z_D358E58B_5EA6_4EB2_8562_4D9FEBA8EA54_.wvu.Cols" localSheetId="24" hidden="1">'EB&amp;Taxes'!$E:$E</definedName>
    <definedName name="Z_D358E58B_5EA6_4EB2_8562_4D9FEBA8EA54_.wvu.PrintArea" localSheetId="0" hidden="1">'JHS-25 Ex A-1'!$A$4:$H$55</definedName>
    <definedName name="Z_D358E58B_5EA6_4EB2_8562_4D9FEBA8EA54_.wvu.PrintArea" localSheetId="25" hidden="1">TransmRev!$A$1:$F$44</definedName>
    <definedName name="Z_D358E58B_5EA6_4EB2_8562_4D9FEBA8EA54_.wvu.PrintTitles" localSheetId="18" hidden="1">'557'!$1:$9</definedName>
    <definedName name="Z_D358E58B_5EA6_4EB2_8562_4D9FEBA8EA54_.wvu.PrintTitles" localSheetId="24" hidden="1">'EB&amp;Taxes'!$1:$6</definedName>
    <definedName name="Z_D564613F_7CF3_40DE_8CDA_0C25C1F35855_.wvu.Cols" localSheetId="24" hidden="1">'EB&amp;Taxes'!$E:$E</definedName>
    <definedName name="Z_D564613F_7CF3_40DE_8CDA_0C25C1F35855_.wvu.PrintArea" localSheetId="0" hidden="1">'JHS-25 Ex A-1'!$A$4:$H$55</definedName>
    <definedName name="Z_D564613F_7CF3_40DE_8CDA_0C25C1F35855_.wvu.PrintArea" localSheetId="25" hidden="1">TransmRev!$A$1:$F$44</definedName>
    <definedName name="Z_D564613F_7CF3_40DE_8CDA_0C25C1F35855_.wvu.PrintTitles" localSheetId="18" hidden="1">'557'!$1:$9</definedName>
    <definedName name="Z_D564613F_7CF3_40DE_8CDA_0C25C1F35855_.wvu.PrintTitles" localSheetId="24" hidden="1">'EB&amp;Taxes'!$1:$6</definedName>
    <definedName name="Z_D86EDF48_CDEA_4A90_8E1A_7F0B5E967DBE_.wvu.Cols" localSheetId="9" hidden="1">'JHS-25 Ex A-3'!#REF!</definedName>
    <definedName name="Z_DA82D128_5452_45C5_914D_4ECF8FABD1C5_.wvu.Rows" localSheetId="3" hidden="1">'JHS-20.01(A)'!#REF!</definedName>
    <definedName name="Z_DD70B4E1_CC64_4568_BFD6_83390A7B0268_.wvu.Cols" localSheetId="24" hidden="1">'EB&amp;Taxes'!$E:$E</definedName>
    <definedName name="Z_DD70B4E1_CC64_4568_BFD6_83390A7B0268_.wvu.PrintArea" localSheetId="0" hidden="1">'JHS-25 Ex A-1'!$A$4:$H$55</definedName>
    <definedName name="Z_DD70B4E1_CC64_4568_BFD6_83390A7B0268_.wvu.PrintArea" localSheetId="25" hidden="1">TransmRev!$A$1:$F$44</definedName>
    <definedName name="Z_DD70B4E1_CC64_4568_BFD6_83390A7B0268_.wvu.PrintTitles" localSheetId="18" hidden="1">'557'!$1:$9</definedName>
    <definedName name="Z_DD70B4E1_CC64_4568_BFD6_83390A7B0268_.wvu.PrintTitles" localSheetId="24" hidden="1">'EB&amp;Taxes'!$1:$6</definedName>
    <definedName name="Z_DF4E3B04_E442_43A1_A47D_E26F6CE7F11C_.wvu.Cols" localSheetId="24" hidden="1">'EB&amp;Taxes'!$E:$E</definedName>
    <definedName name="Z_DF4E3B04_E442_43A1_A47D_E26F6CE7F11C_.wvu.PrintArea" localSheetId="0" hidden="1">'JHS-25 Ex A-1'!$A$4:$H$55</definedName>
    <definedName name="Z_DF4E3B04_E442_43A1_A47D_E26F6CE7F11C_.wvu.PrintArea" localSheetId="25" hidden="1">TransmRev!$A$1:$F$44</definedName>
    <definedName name="Z_DF4E3B04_E442_43A1_A47D_E26F6CE7F11C_.wvu.PrintTitles" localSheetId="18" hidden="1">'557'!$1:$9</definedName>
    <definedName name="Z_DF4E3B04_E442_43A1_A47D_E26F6CE7F11C_.wvu.PrintTitles" localSheetId="24" hidden="1">'EB&amp;Taxes'!$1:$6</definedName>
    <definedName name="Z_E289851B_405E_4A98_8191_445F20CA287E_.wvu.Rows" localSheetId="3" hidden="1">'JHS-20.01(A)'!#REF!</definedName>
    <definedName name="Z_E2C26153_D457_4603_B564_60CFADB5026B_.wvu.Cols" localSheetId="24" hidden="1">'EB&amp;Taxes'!$E:$E</definedName>
    <definedName name="Z_E2C26153_D457_4603_B564_60CFADB5026B_.wvu.PrintArea" localSheetId="0" hidden="1">'JHS-25 Ex A-1'!$A$4:$H$55</definedName>
    <definedName name="Z_E2C26153_D457_4603_B564_60CFADB5026B_.wvu.PrintArea" localSheetId="25" hidden="1">TransmRev!$A$1:$F$44</definedName>
    <definedName name="Z_E2C26153_D457_4603_B564_60CFADB5026B_.wvu.PrintTitles" localSheetId="18" hidden="1">'557'!$1:$9</definedName>
    <definedName name="Z_E2C26153_D457_4603_B564_60CFADB5026B_.wvu.PrintTitles" localSheetId="24" hidden="1">'EB&amp;Taxes'!$1:$6</definedName>
    <definedName name="Z_E4F9A0CE_47D0_4F72_86F1_E5F20B9A3104_.wvu.Cols" localSheetId="9" hidden="1">'JHS-25 Ex A-3'!#REF!</definedName>
    <definedName name="Z_E98B4028_3602_46AA_8C00_41FD8ABF8836_.wvu.Cols" localSheetId="24" hidden="1">'EB&amp;Taxes'!$E:$E</definedName>
    <definedName name="Z_E98B4028_3602_46AA_8C00_41FD8ABF8836_.wvu.PrintArea" localSheetId="0" hidden="1">'JHS-25 Ex A-1'!$A$4:$H$55</definedName>
    <definedName name="Z_E98B4028_3602_46AA_8C00_41FD8ABF8836_.wvu.PrintArea" localSheetId="25" hidden="1">TransmRev!$A$1:$F$44</definedName>
    <definedName name="Z_E98B4028_3602_46AA_8C00_41FD8ABF8836_.wvu.PrintTitles" localSheetId="18" hidden="1">'557'!$1:$9</definedName>
    <definedName name="Z_E98B4028_3602_46AA_8C00_41FD8ABF8836_.wvu.PrintTitles" localSheetId="24" hidden="1">'EB&amp;Taxes'!$1:$6</definedName>
    <definedName name="Z_EDF3DC03_FBB9_4397_9335_6FA548B9B5CD_.wvu.Cols" localSheetId="24" hidden="1">'EB&amp;Taxes'!$E:$E</definedName>
    <definedName name="Z_EDF3DC03_FBB9_4397_9335_6FA548B9B5CD_.wvu.PrintArea" localSheetId="0" hidden="1">'JHS-25 Ex A-1'!$A$4:$H$55</definedName>
    <definedName name="Z_EDF3DC03_FBB9_4397_9335_6FA548B9B5CD_.wvu.PrintArea" localSheetId="25" hidden="1">TransmRev!$A$1:$F$44</definedName>
    <definedName name="Z_EDF3DC03_FBB9_4397_9335_6FA548B9B5CD_.wvu.PrintTitles" localSheetId="18" hidden="1">'557'!$1:$9</definedName>
    <definedName name="Z_EDF3DC03_FBB9_4397_9335_6FA548B9B5CD_.wvu.PrintTitles" localSheetId="24" hidden="1">'EB&amp;Taxes'!$1:$6</definedName>
    <definedName name="Z_EE559E07_5B41_4877_A4D7_2B8A63F8CFFE_.wvu.Rows" localSheetId="3" hidden="1">'JHS-20.01(A)'!#REF!</definedName>
    <definedName name="Z_F2FA841B_253A_4182_A288_13748E201B99_.wvu.Cols" localSheetId="9" hidden="1">'JHS-25 Ex A-3'!#REF!</definedName>
    <definedName name="Z_F2FA841B_253A_4182_A288_13748E201B99_.wvu.PrintArea" localSheetId="9" hidden="1">'JHS-25 Ex A-3'!$A$109:$E$117</definedName>
    <definedName name="Z_F531E925_9E0B_409C_9EAA_ADCDD51D6BA7_.wvu.Cols" localSheetId="24" hidden="1">'EB&amp;Taxes'!$E:$E</definedName>
    <definedName name="Z_F531E925_9E0B_409C_9EAA_ADCDD51D6BA7_.wvu.PrintArea" localSheetId="0" hidden="1">'JHS-25 Ex A-1'!$A$4:$H$55</definedName>
    <definedName name="Z_F531E925_9E0B_409C_9EAA_ADCDD51D6BA7_.wvu.PrintArea" localSheetId="25" hidden="1">TransmRev!$A$1:$F$44</definedName>
    <definedName name="Z_F531E925_9E0B_409C_9EAA_ADCDD51D6BA7_.wvu.PrintTitles" localSheetId="18" hidden="1">'557'!$1:$9</definedName>
    <definedName name="Z_F531E925_9E0B_409C_9EAA_ADCDD51D6BA7_.wvu.PrintTitles" localSheetId="24" hidden="1">'EB&amp;Taxes'!$1:$6</definedName>
    <definedName name="Z_F985D028_064A_46CA_9D34_E4E9B88A9B3C_.wvu.Cols" localSheetId="24" hidden="1">'EB&amp;Taxes'!$E:$E</definedName>
    <definedName name="Z_F985D028_064A_46CA_9D34_E4E9B88A9B3C_.wvu.PrintArea" localSheetId="0" hidden="1">'JHS-25 Ex A-1'!$A$4:$H$55</definedName>
    <definedName name="Z_F985D028_064A_46CA_9D34_E4E9B88A9B3C_.wvu.PrintArea" localSheetId="25" hidden="1">TransmRev!$A$1:$F$44</definedName>
    <definedName name="Z_F985D028_064A_46CA_9D34_E4E9B88A9B3C_.wvu.PrintTitles" localSheetId="18" hidden="1">'557'!$1:$9</definedName>
    <definedName name="Z_F985D028_064A_46CA_9D34_E4E9B88A9B3C_.wvu.PrintTitles" localSheetId="24" hidden="1">'EB&amp;Taxes'!$1:$6</definedName>
    <definedName name="Z_FA8E6920_4213_45BA_ADAB_F0B62DF69468_.wvu.Cols" localSheetId="9" hidden="1">'JHS-25 Ex A-3'!#REF!</definedName>
    <definedName name="Z_FEFCE477_944B_4DAC_AD75_686CC83D0F0B_.wvu.Cols" localSheetId="24" hidden="1">'EB&amp;Taxes'!$E:$E</definedName>
    <definedName name="Z_FEFCE477_944B_4DAC_AD75_686CC83D0F0B_.wvu.PrintArea" localSheetId="0" hidden="1">'JHS-25 Ex A-1'!$A$4:$H$55</definedName>
    <definedName name="Z_FEFCE477_944B_4DAC_AD75_686CC83D0F0B_.wvu.PrintArea" localSheetId="25" hidden="1">TransmRev!$A$1:$F$44</definedName>
    <definedName name="Z_FEFCE477_944B_4DAC_AD75_686CC83D0F0B_.wvu.PrintTitles" localSheetId="18" hidden="1">'557'!$1:$9</definedName>
    <definedName name="Z_FEFCE477_944B_4DAC_AD75_686CC83D0F0B_.wvu.PrintTitles" localSheetId="24" hidden="1">'EB&amp;Taxes'!$1:$6</definedName>
  </definedNames>
  <calcPr calcId="125725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D11" i="29"/>
  <c r="D42" l="1"/>
  <c r="C42"/>
  <c r="I55" i="114"/>
  <c r="I57"/>
  <c r="I58"/>
  <c r="I60"/>
  <c r="I61"/>
  <c r="I62"/>
  <c r="J3" i="87" l="1"/>
  <c r="P28" i="40"/>
  <c r="C23" i="127"/>
  <c r="C24"/>
  <c r="A22" i="141"/>
  <c r="A23" s="1"/>
  <c r="A21"/>
  <c r="V59" i="86"/>
  <c r="S59" l="1"/>
  <c r="H18" i="130"/>
  <c r="G20"/>
  <c r="G18" s="1"/>
  <c r="E39" i="29" l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42" s="1"/>
  <c r="E10"/>
  <c r="E9"/>
  <c r="E78" i="28" s="1"/>
  <c r="D78"/>
  <c r="A78"/>
  <c r="E77"/>
  <c r="A77"/>
  <c r="E76"/>
  <c r="D76"/>
  <c r="A76"/>
  <c r="E75"/>
  <c r="A75"/>
  <c r="E74"/>
  <c r="A74"/>
  <c r="A73"/>
  <c r="A72"/>
  <c r="A71"/>
  <c r="A70"/>
  <c r="E69"/>
  <c r="A69"/>
  <c r="A68"/>
  <c r="A67"/>
  <c r="A66"/>
  <c r="A65"/>
  <c r="A64"/>
  <c r="A63"/>
  <c r="A62"/>
  <c r="A61"/>
  <c r="E60"/>
  <c r="A60"/>
  <c r="A59"/>
  <c r="A58"/>
  <c r="A57"/>
  <c r="A56"/>
  <c r="E55"/>
  <c r="A55"/>
  <c r="A54"/>
  <c r="A53"/>
  <c r="A52"/>
  <c r="A51"/>
  <c r="E50"/>
  <c r="A50"/>
  <c r="A49"/>
  <c r="E48"/>
  <c r="A48"/>
  <c r="A47"/>
  <c r="A46"/>
  <c r="A45"/>
  <c r="E44" s="1"/>
  <c r="D44"/>
  <c r="A44"/>
  <c r="E43"/>
  <c r="A43"/>
  <c r="E42"/>
  <c r="D42"/>
  <c r="A42"/>
  <c r="E41"/>
  <c r="A41"/>
  <c r="E40"/>
  <c r="A40"/>
  <c r="A39"/>
  <c r="A38"/>
  <c r="A37"/>
  <c r="A36"/>
  <c r="A35"/>
  <c r="A34"/>
  <c r="A33"/>
  <c r="A32"/>
  <c r="A31"/>
  <c r="E30"/>
  <c r="A30"/>
  <c r="A29"/>
  <c r="A28"/>
  <c r="A27"/>
  <c r="E26"/>
  <c r="A26"/>
  <c r="A25"/>
  <c r="A24"/>
  <c r="A23"/>
  <c r="A22"/>
  <c r="E21"/>
  <c r="A21"/>
  <c r="A20"/>
  <c r="A19"/>
  <c r="A18"/>
  <c r="A17"/>
  <c r="E16"/>
  <c r="A16"/>
  <c r="A15"/>
  <c r="E14"/>
  <c r="A14"/>
  <c r="A13"/>
  <c r="A12"/>
  <c r="A11"/>
  <c r="D10"/>
  <c r="A10"/>
  <c r="D9"/>
  <c r="A9"/>
  <c r="D8"/>
  <c r="A8"/>
  <c r="A7"/>
  <c r="H58" i="105"/>
  <c r="G58"/>
  <c r="F58" s="1"/>
  <c r="E58"/>
  <c r="D58"/>
  <c r="H57"/>
  <c r="G57"/>
  <c r="F57"/>
  <c r="E57"/>
  <c r="D57" s="1"/>
  <c r="H56" s="1"/>
  <c r="G56" s="1"/>
  <c r="F56" s="1"/>
  <c r="E56" s="1"/>
  <c r="D56" s="1"/>
  <c r="C56"/>
  <c r="H53"/>
  <c r="G53"/>
  <c r="F53"/>
  <c r="E53"/>
  <c r="D53"/>
  <c r="A52"/>
  <c r="H51"/>
  <c r="A51" s="1"/>
  <c r="H50"/>
  <c r="A50" s="1"/>
  <c r="H49"/>
  <c r="A49" s="1"/>
  <c r="H48"/>
  <c r="A48" s="1"/>
  <c r="H47"/>
  <c r="A47" s="1"/>
  <c r="H46"/>
  <c r="A46" s="1"/>
  <c r="H45"/>
  <c r="A45" s="1"/>
  <c r="H44"/>
  <c r="A44" s="1"/>
  <c r="H43"/>
  <c r="A43" s="1"/>
  <c r="H42"/>
  <c r="A42" s="1"/>
  <c r="H41"/>
  <c r="A41" s="1"/>
  <c r="H40"/>
  <c r="A40" s="1"/>
  <c r="H39"/>
  <c r="A39"/>
  <c r="H38"/>
  <c r="A38"/>
  <c r="H37"/>
  <c r="H36"/>
  <c r="V32" s="1"/>
  <c r="U32" s="1"/>
  <c r="K32" s="1"/>
  <c r="X31" s="1"/>
  <c r="W31"/>
  <c r="V31"/>
  <c r="U31"/>
  <c r="T31"/>
  <c r="S31"/>
  <c r="R31"/>
  <c r="Q31"/>
  <c r="P31"/>
  <c r="O31" s="1"/>
  <c r="N31"/>
  <c r="M31"/>
  <c r="L31"/>
  <c r="K31" s="1"/>
  <c r="J31"/>
  <c r="H31" s="1"/>
  <c r="G31"/>
  <c r="F31"/>
  <c r="E31"/>
  <c r="D31"/>
  <c r="X30"/>
  <c r="V30"/>
  <c r="U30"/>
  <c r="K30" s="1"/>
  <c r="J30"/>
  <c r="H30"/>
  <c r="X29" s="1"/>
  <c r="V29" s="1"/>
  <c r="U29" s="1"/>
  <c r="S29"/>
  <c r="K29" s="1"/>
  <c r="J29"/>
  <c r="H29"/>
  <c r="X28" s="1"/>
  <c r="V28" s="1"/>
  <c r="U28" s="1"/>
  <c r="R28"/>
  <c r="Q28"/>
  <c r="K28"/>
  <c r="J28"/>
  <c r="H28"/>
  <c r="X27" s="1"/>
  <c r="V27" s="1"/>
  <c r="U27"/>
  <c r="R27"/>
  <c r="Q27"/>
  <c r="K27" s="1"/>
  <c r="J27"/>
  <c r="H27"/>
  <c r="X26" s="1"/>
  <c r="V26" l="1"/>
  <c r="U26" s="1"/>
  <c r="R26"/>
  <c r="P26"/>
  <c r="K26"/>
  <c r="H26"/>
  <c r="X25" l="1"/>
  <c r="V25" s="1"/>
  <c r="U25"/>
  <c r="T25"/>
  <c r="O25"/>
  <c r="K25" s="1"/>
  <c r="J25"/>
  <c r="H25"/>
  <c r="X24"/>
  <c r="V24"/>
  <c r="U24"/>
  <c r="K24"/>
  <c r="J24"/>
  <c r="H24"/>
  <c r="X23" s="1"/>
  <c r="V23" s="1"/>
  <c r="U23"/>
  <c r="K23"/>
  <c r="J23"/>
  <c r="H23"/>
  <c r="X22"/>
  <c r="V22" s="1"/>
  <c r="U22"/>
  <c r="K22"/>
  <c r="J22"/>
  <c r="H22"/>
  <c r="X21"/>
  <c r="V21" s="1"/>
  <c r="U21"/>
  <c r="K21" s="1"/>
  <c r="J21"/>
  <c r="H21"/>
  <c r="X20" s="1"/>
  <c r="V20"/>
  <c r="U20"/>
  <c r="K20" s="1"/>
  <c r="H20"/>
  <c r="X19" s="1"/>
  <c r="V19" s="1"/>
  <c r="U19"/>
  <c r="K19"/>
  <c r="J19"/>
  <c r="H19"/>
  <c r="X18"/>
  <c r="V18" s="1"/>
  <c r="U18"/>
  <c r="K18" s="1"/>
  <c r="J18"/>
  <c r="H18"/>
  <c r="X17" s="1"/>
  <c r="V17"/>
  <c r="U17"/>
  <c r="O17"/>
  <c r="K17"/>
  <c r="J17"/>
  <c r="H17"/>
  <c r="X16"/>
  <c r="V16"/>
  <c r="U16"/>
  <c r="K16" s="1"/>
  <c r="J16"/>
  <c r="H16"/>
  <c r="X15" s="1"/>
  <c r="V15" s="1"/>
  <c r="U15"/>
  <c r="N15"/>
  <c r="K15"/>
  <c r="J15"/>
  <c r="H15"/>
  <c r="X14"/>
  <c r="V14"/>
  <c r="U14"/>
  <c r="K14"/>
  <c r="J14"/>
  <c r="H14"/>
  <c r="X13"/>
  <c r="V13"/>
  <c r="U13"/>
  <c r="K13" s="1"/>
  <c r="J13"/>
  <c r="H13"/>
  <c r="X12" s="1"/>
  <c r="V12" s="1"/>
  <c r="U12"/>
  <c r="M12"/>
  <c r="K12"/>
  <c r="J12"/>
  <c r="H12"/>
  <c r="X11"/>
  <c r="V11"/>
  <c r="U11"/>
  <c r="K11"/>
  <c r="J11"/>
  <c r="H11"/>
  <c r="X10"/>
  <c r="V10"/>
  <c r="U10"/>
  <c r="K10"/>
  <c r="J10"/>
  <c r="H10"/>
  <c r="X9"/>
  <c r="V9"/>
  <c r="U9"/>
  <c r="K9" s="1"/>
  <c r="J9"/>
  <c r="H9"/>
  <c r="X8" s="1"/>
  <c r="V8" s="1"/>
  <c r="U8"/>
  <c r="K8"/>
  <c r="J8"/>
  <c r="H8"/>
  <c r="X7"/>
  <c r="V7" s="1"/>
  <c r="U7"/>
  <c r="K7" s="1"/>
  <c r="J7"/>
  <c r="H7"/>
  <c r="X6" s="1"/>
  <c r="V6"/>
  <c r="U6"/>
  <c r="K6"/>
  <c r="J6"/>
  <c r="H6"/>
  <c r="K4"/>
  <c r="J2"/>
  <c r="J1"/>
  <c r="E80" i="61" s="1"/>
  <c r="D80"/>
  <c r="C80" s="1"/>
  <c r="E78" s="1"/>
  <c r="D78"/>
  <c r="C78"/>
  <c r="E76" s="1"/>
  <c r="D76"/>
  <c r="C76"/>
  <c r="E74"/>
  <c r="E73"/>
  <c r="E72"/>
  <c r="E63"/>
  <c r="D63"/>
  <c r="C63"/>
  <c r="E61"/>
  <c r="D61"/>
  <c r="C61"/>
  <c r="E49"/>
  <c r="D49"/>
  <c r="C49" s="1"/>
  <c r="E47"/>
  <c r="D47"/>
  <c r="C47"/>
  <c r="E35" s="1"/>
  <c r="D35"/>
  <c r="C35"/>
  <c r="E32"/>
  <c r="E30"/>
  <c r="D30"/>
  <c r="C30"/>
  <c r="C28"/>
  <c r="E26"/>
  <c r="D26"/>
  <c r="C26"/>
  <c r="E16"/>
  <c r="D16"/>
  <c r="C16"/>
  <c r="C19" i="52"/>
  <c r="C18"/>
  <c r="C17"/>
  <c r="C16"/>
  <c r="C15"/>
  <c r="A21" i="22"/>
  <c r="A20"/>
  <c r="A19"/>
  <c r="A18"/>
  <c r="F17" s="1"/>
  <c r="A17"/>
  <c r="A16"/>
  <c r="A15"/>
  <c r="F14"/>
  <c r="A14" s="1"/>
  <c r="F13"/>
  <c r="A13" s="1"/>
  <c r="A12"/>
  <c r="A11"/>
  <c r="A51" i="21" s="1"/>
  <c r="A50" s="1"/>
  <c r="A49" s="1"/>
  <c r="A48" s="1"/>
  <c r="A47" s="1"/>
  <c r="B46"/>
  <c r="A46" s="1"/>
  <c r="A45" s="1"/>
  <c r="A44"/>
  <c r="A43"/>
  <c r="A42"/>
  <c r="A41"/>
  <c r="A40"/>
  <c r="A39"/>
  <c r="G37"/>
  <c r="A37" s="1"/>
  <c r="G36"/>
  <c r="A36" s="1"/>
  <c r="G35"/>
  <c r="A35"/>
  <c r="G34"/>
  <c r="A34"/>
  <c r="G33"/>
  <c r="A33" s="1"/>
  <c r="F32"/>
  <c r="A32" s="1"/>
  <c r="A31" s="1"/>
  <c r="A30" s="1"/>
  <c r="A29"/>
  <c r="F27"/>
  <c r="A27" s="1"/>
  <c r="A26"/>
  <c r="F25"/>
  <c r="A25"/>
  <c r="A24"/>
  <c r="A23"/>
  <c r="E19"/>
  <c r="A19"/>
  <c r="A18" s="1"/>
  <c r="A17" s="1"/>
  <c r="D16"/>
  <c r="A16" s="1"/>
  <c r="A14"/>
  <c r="A21" i="111"/>
  <c r="A20"/>
  <c r="A19"/>
  <c r="A17"/>
  <c r="A16"/>
  <c r="D43" i="103"/>
  <c r="H41"/>
  <c r="D41"/>
  <c r="H40"/>
  <c r="D40" s="1"/>
  <c r="H38"/>
  <c r="F37"/>
  <c r="D36"/>
  <c r="H33"/>
  <c r="F33"/>
  <c r="D33"/>
  <c r="D32"/>
  <c r="H31"/>
  <c r="F31" s="1"/>
  <c r="D31"/>
  <c r="H29"/>
  <c r="F26"/>
  <c r="D24"/>
  <c r="H23"/>
  <c r="F23"/>
  <c r="D23"/>
  <c r="J20"/>
  <c r="D20"/>
  <c r="J18"/>
  <c r="H18"/>
  <c r="F18"/>
  <c r="D18"/>
  <c r="J16"/>
  <c r="D16"/>
  <c r="J15"/>
  <c r="J14"/>
  <c r="J13"/>
  <c r="D13"/>
  <c r="H30" i="11"/>
  <c r="G30"/>
  <c r="F30"/>
  <c r="D29"/>
  <c r="C29"/>
  <c r="H27"/>
  <c r="D23"/>
  <c r="D22"/>
  <c r="D21"/>
  <c r="H17"/>
  <c r="C16"/>
  <c r="C14"/>
  <c r="D12"/>
  <c r="D10"/>
  <c r="G10" s="1"/>
  <c r="F13" i="132"/>
  <c r="E13" s="1"/>
  <c r="D13"/>
  <c r="C13"/>
  <c r="B13"/>
  <c r="F12"/>
  <c r="E11"/>
  <c r="E10"/>
  <c r="B10"/>
  <c r="F9"/>
  <c r="P27" i="40"/>
  <c r="P23"/>
  <c r="P21"/>
  <c r="P20"/>
  <c r="P18"/>
  <c r="O18" s="1"/>
  <c r="N18" s="1"/>
  <c r="M18" s="1"/>
  <c r="L18" s="1"/>
  <c r="K18" s="1"/>
  <c r="J18" s="1"/>
  <c r="I18" s="1"/>
  <c r="H18" s="1"/>
  <c r="G18" s="1"/>
  <c r="F18" s="1"/>
  <c r="E18" s="1"/>
  <c r="D18" s="1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A41" i="122"/>
  <c r="C40"/>
  <c r="A40" s="1"/>
  <c r="A39"/>
  <c r="B38"/>
  <c r="A38" s="1"/>
  <c r="A37" s="1"/>
  <c r="B36"/>
  <c r="A36" s="1"/>
  <c r="A35" s="1"/>
  <c r="A34"/>
  <c r="A33"/>
  <c r="C32"/>
  <c r="A32" s="1"/>
  <c r="A30"/>
  <c r="A29"/>
  <c r="A28"/>
  <c r="A27"/>
  <c r="A26"/>
  <c r="C25"/>
  <c r="A25" s="1"/>
  <c r="A21"/>
  <c r="A20"/>
  <c r="A19"/>
  <c r="A18"/>
  <c r="A17"/>
  <c r="C16"/>
  <c r="A16"/>
  <c r="A15"/>
  <c r="A8"/>
  <c r="A118" i="121"/>
  <c r="A117"/>
  <c r="A116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C96"/>
  <c r="A96" s="1"/>
  <c r="A95"/>
  <c r="C94"/>
  <c r="A94" s="1"/>
  <c r="A93"/>
  <c r="A92"/>
  <c r="A91"/>
  <c r="C90"/>
  <c r="A90" s="1"/>
  <c r="C89"/>
  <c r="A89" s="1"/>
  <c r="C88"/>
  <c r="A88" s="1"/>
  <c r="C87"/>
  <c r="A87" s="1"/>
  <c r="A86"/>
  <c r="A85"/>
  <c r="A84"/>
  <c r="E80"/>
  <c r="A76"/>
  <c r="A71"/>
  <c r="A70"/>
  <c r="A69"/>
  <c r="A68"/>
  <c r="A67"/>
  <c r="A66"/>
  <c r="A65"/>
  <c r="A63"/>
  <c r="A62"/>
  <c r="A60"/>
  <c r="A57"/>
  <c r="A54"/>
  <c r="A53"/>
  <c r="A51"/>
  <c r="C50"/>
  <c r="A50" s="1"/>
  <c r="A48"/>
  <c r="A47"/>
  <c r="A46"/>
  <c r="A45"/>
  <c r="A44"/>
  <c r="A42"/>
  <c r="A40"/>
  <c r="A39"/>
  <c r="A38"/>
  <c r="A37"/>
  <c r="A36"/>
  <c r="A35"/>
  <c r="A34"/>
  <c r="A32"/>
  <c r="A28"/>
  <c r="A27"/>
  <c r="A26"/>
  <c r="A25"/>
  <c r="A24"/>
  <c r="A23"/>
  <c r="A22"/>
  <c r="A21"/>
  <c r="A20"/>
  <c r="A19"/>
  <c r="A15"/>
  <c r="E12"/>
  <c r="A8"/>
  <c r="A113" i="120"/>
  <c r="D112"/>
  <c r="A112"/>
  <c r="A111"/>
  <c r="A110"/>
  <c r="D109"/>
  <c r="E109" s="1"/>
  <c r="A109"/>
  <c r="D108" s="1"/>
  <c r="A108"/>
  <c r="D107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I67"/>
  <c r="H67"/>
  <c r="G67"/>
  <c r="F67"/>
  <c r="A67"/>
  <c r="A66"/>
  <c r="A65"/>
  <c r="A64"/>
  <c r="I63" s="1"/>
  <c r="H63"/>
  <c r="G63"/>
  <c r="F63" s="1"/>
  <c r="E63" s="1"/>
  <c r="D63" s="1"/>
  <c r="A63"/>
  <c r="A62"/>
  <c r="I61"/>
  <c r="H61"/>
  <c r="G61"/>
  <c r="F61"/>
  <c r="E61"/>
  <c r="D61"/>
  <c r="A61"/>
  <c r="A60"/>
  <c r="A59"/>
  <c r="I58"/>
  <c r="H58"/>
  <c r="G58"/>
  <c r="F58"/>
  <c r="E58"/>
  <c r="D58"/>
  <c r="A58"/>
  <c r="A57"/>
  <c r="A56"/>
  <c r="A55"/>
  <c r="A54"/>
  <c r="A53"/>
  <c r="A52"/>
  <c r="A51"/>
  <c r="I50"/>
  <c r="H50"/>
  <c r="G50"/>
  <c r="F50"/>
  <c r="E50"/>
  <c r="D50"/>
  <c r="A50"/>
  <c r="A49"/>
  <c r="A48"/>
  <c r="A47"/>
  <c r="A46"/>
  <c r="A45"/>
  <c r="A44"/>
  <c r="I43"/>
  <c r="H43"/>
  <c r="G43"/>
  <c r="F43"/>
  <c r="E43"/>
  <c r="D43"/>
  <c r="A43"/>
  <c r="A42"/>
  <c r="A41"/>
  <c r="A40"/>
  <c r="A39"/>
  <c r="A38"/>
  <c r="A37"/>
  <c r="I36"/>
  <c r="H36"/>
  <c r="G36"/>
  <c r="F36"/>
  <c r="E36"/>
  <c r="D36"/>
  <c r="A36"/>
  <c r="A35"/>
  <c r="A34"/>
  <c r="A33"/>
  <c r="A32"/>
  <c r="A31"/>
  <c r="A30"/>
  <c r="A29"/>
  <c r="I28"/>
  <c r="H28"/>
  <c r="G28"/>
  <c r="F28"/>
  <c r="E28"/>
  <c r="D28"/>
  <c r="A28"/>
  <c r="A27"/>
  <c r="A26"/>
  <c r="A25"/>
  <c r="A24"/>
  <c r="A23"/>
  <c r="A22"/>
  <c r="I21"/>
  <c r="H21"/>
  <c r="G21"/>
  <c r="F21"/>
  <c r="E21"/>
  <c r="D21"/>
  <c r="A21"/>
  <c r="A20"/>
  <c r="A19"/>
  <c r="A18"/>
  <c r="A17"/>
  <c r="A16"/>
  <c r="A15"/>
  <c r="A14"/>
  <c r="A13"/>
  <c r="A12"/>
  <c r="A11"/>
  <c r="A10"/>
  <c r="A9"/>
  <c r="A8"/>
  <c r="A7"/>
  <c r="D6" s="1"/>
  <c r="A6"/>
  <c r="A5"/>
  <c r="D4" s="1"/>
  <c r="A4"/>
  <c r="D3" s="1"/>
  <c r="A3"/>
  <c r="I54" i="117"/>
  <c r="E54" s="1"/>
  <c r="E48" s="1"/>
  <c r="I47"/>
  <c r="G47"/>
  <c r="F47"/>
  <c r="E47"/>
  <c r="G44"/>
  <c r="F44"/>
  <c r="E44"/>
  <c r="G37"/>
  <c r="F37"/>
  <c r="E37"/>
  <c r="G27"/>
  <c r="F27"/>
  <c r="E27"/>
  <c r="G17"/>
  <c r="F17"/>
  <c r="E17"/>
  <c r="A8"/>
  <c r="A7"/>
  <c r="I1"/>
  <c r="P30" i="40" l="1"/>
  <c r="D24" i="11"/>
  <c r="D28" s="1"/>
  <c r="D31" s="1"/>
  <c r="H10"/>
  <c r="F14"/>
  <c r="D113" i="120"/>
  <c r="D10" s="1"/>
  <c r="G16" i="11"/>
  <c r="H16" s="1"/>
  <c r="F16" i="21"/>
  <c r="G32"/>
  <c r="G38" s="1"/>
  <c r="F38"/>
  <c r="A38" s="1"/>
  <c r="F16" i="22"/>
  <c r="F19" s="1"/>
  <c r="F21" l="1"/>
  <c r="G41" i="21" s="1"/>
  <c r="G44" s="1"/>
  <c r="H14" i="11"/>
  <c r="H18" s="1"/>
  <c r="F18"/>
  <c r="D39" i="114"/>
  <c r="A34"/>
  <c r="A35" s="1"/>
  <c r="D31"/>
  <c r="H11"/>
  <c r="D7"/>
  <c r="J1"/>
  <c r="F49" i="124"/>
  <c r="F50" s="1"/>
  <c r="G47"/>
  <c r="G45"/>
  <c r="G42"/>
  <c r="G41"/>
  <c r="G40"/>
  <c r="G39"/>
  <c r="G38"/>
  <c r="F37"/>
  <c r="G36"/>
  <c r="G35"/>
  <c r="G34"/>
  <c r="G33"/>
  <c r="G32"/>
  <c r="G31"/>
  <c r="G30"/>
  <c r="G29"/>
  <c r="G28"/>
  <c r="G27"/>
  <c r="F25"/>
  <c r="F43" s="1"/>
  <c r="G24"/>
  <c r="G23"/>
  <c r="G22"/>
  <c r="G21"/>
  <c r="F16"/>
  <c r="G15"/>
  <c r="G14"/>
  <c r="G13"/>
  <c r="G12"/>
  <c r="A12"/>
  <c r="E9" s="1"/>
  <c r="I43" i="130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K21"/>
  <c r="J21"/>
  <c r="I21"/>
  <c r="L21" s="1"/>
  <c r="I20"/>
  <c r="I19"/>
  <c r="I18"/>
  <c r="I17"/>
  <c r="I16"/>
  <c r="I15"/>
  <c r="I14"/>
  <c r="I13"/>
  <c r="I12"/>
  <c r="I11"/>
  <c r="I10"/>
  <c r="I9"/>
  <c r="I8"/>
  <c r="J21" i="127"/>
  <c r="H21"/>
  <c r="G21"/>
  <c r="F21"/>
  <c r="J20"/>
  <c r="G20"/>
  <c r="J19"/>
  <c r="H19"/>
  <c r="G19"/>
  <c r="F19"/>
  <c r="A19"/>
  <c r="A18"/>
  <c r="A16"/>
  <c r="J15"/>
  <c r="H15"/>
  <c r="A15"/>
  <c r="A14"/>
  <c r="H13"/>
  <c r="I7"/>
  <c r="D7"/>
  <c r="A7"/>
  <c r="M4"/>
  <c r="H4"/>
  <c r="H3"/>
  <c r="C3"/>
  <c r="M2"/>
  <c r="H2"/>
  <c r="C2"/>
  <c r="J58" i="126"/>
  <c r="E52"/>
  <c r="J50"/>
  <c r="A46"/>
  <c r="E44"/>
  <c r="G41"/>
  <c r="E41"/>
  <c r="Q40"/>
  <c r="K40"/>
  <c r="CU39"/>
  <c r="K39"/>
  <c r="CW36"/>
  <c r="L35"/>
  <c r="U31"/>
  <c r="CV30"/>
  <c r="BA29"/>
  <c r="AC29"/>
  <c r="U28"/>
  <c r="P27"/>
  <c r="K27"/>
  <c r="D27"/>
  <c r="C27"/>
  <c r="AC26"/>
  <c r="AB26"/>
  <c r="E26"/>
  <c r="CV25"/>
  <c r="AD25"/>
  <c r="E25"/>
  <c r="CR24"/>
  <c r="BB24"/>
  <c r="AD24"/>
  <c r="E24"/>
  <c r="BX23"/>
  <c r="BX25" s="1"/>
  <c r="BK23"/>
  <c r="AH23"/>
  <c r="AD23"/>
  <c r="Q23"/>
  <c r="E23"/>
  <c r="CZ22"/>
  <c r="CQ22"/>
  <c r="CP22"/>
  <c r="CP25" s="1"/>
  <c r="BA22"/>
  <c r="AZ22"/>
  <c r="AD22"/>
  <c r="X22"/>
  <c r="E22"/>
  <c r="CR21"/>
  <c r="BB21"/>
  <c r="AD21"/>
  <c r="E21"/>
  <c r="F21" s="1"/>
  <c r="CV20"/>
  <c r="CR20"/>
  <c r="BB20"/>
  <c r="AD20"/>
  <c r="K20"/>
  <c r="E20"/>
  <c r="CR19"/>
  <c r="CC19"/>
  <c r="BB19"/>
  <c r="AI19"/>
  <c r="AD19"/>
  <c r="E19"/>
  <c r="CR18"/>
  <c r="BB18"/>
  <c r="AD18"/>
  <c r="E18"/>
  <c r="F18" s="1"/>
  <c r="CR17"/>
  <c r="BX17"/>
  <c r="BX19" s="1"/>
  <c r="BL17"/>
  <c r="BL19" s="1"/>
  <c r="BG17"/>
  <c r="BB17"/>
  <c r="AD17"/>
  <c r="E17"/>
  <c r="DB16"/>
  <c r="DB18" s="1"/>
  <c r="CR16"/>
  <c r="BB16"/>
  <c r="AV16"/>
  <c r="AG16"/>
  <c r="E16"/>
  <c r="CV15"/>
  <c r="CR15"/>
  <c r="CL15"/>
  <c r="CK15"/>
  <c r="CG15"/>
  <c r="CF15"/>
  <c r="CC15"/>
  <c r="BU15"/>
  <c r="BL15"/>
  <c r="BG15"/>
  <c r="BF15"/>
  <c r="BE15"/>
  <c r="BB15"/>
  <c r="AV15"/>
  <c r="AM15"/>
  <c r="AL15"/>
  <c r="AI15"/>
  <c r="AH15"/>
  <c r="AD15"/>
  <c r="T15"/>
  <c r="E15"/>
  <c r="DG14"/>
  <c r="CS14"/>
  <c r="CR14"/>
  <c r="CM14"/>
  <c r="CI14"/>
  <c r="CH14"/>
  <c r="CD14"/>
  <c r="CD15" s="1"/>
  <c r="CD16" s="1"/>
  <c r="BZ14"/>
  <c r="BV14"/>
  <c r="BR14"/>
  <c r="BR15" s="1"/>
  <c r="BI14"/>
  <c r="BH14"/>
  <c r="BC14"/>
  <c r="BC15" s="1"/>
  <c r="BB14"/>
  <c r="AX14"/>
  <c r="AX15" s="1"/>
  <c r="AW14"/>
  <c r="AV14"/>
  <c r="AO14"/>
  <c r="AN14"/>
  <c r="AI14"/>
  <c r="AE14"/>
  <c r="AD14"/>
  <c r="Z14"/>
  <c r="Z15" s="1"/>
  <c r="Z16" s="1"/>
  <c r="Z17" s="1"/>
  <c r="V14"/>
  <c r="R14"/>
  <c r="M14"/>
  <c r="H14"/>
  <c r="CM13"/>
  <c r="CM15" s="1"/>
  <c r="CH13"/>
  <c r="BH13"/>
  <c r="BH15" s="1"/>
  <c r="AN13"/>
  <c r="AN15" s="1"/>
  <c r="AN17" s="1"/>
  <c r="A13"/>
  <c r="CX7"/>
  <c r="CS7"/>
  <c r="CN7"/>
  <c r="CI7"/>
  <c r="CD7"/>
  <c r="BZ7"/>
  <c r="BV7"/>
  <c r="BR7"/>
  <c r="BI7"/>
  <c r="BC7"/>
  <c r="AX7"/>
  <c r="AO7"/>
  <c r="AJ7"/>
  <c r="AE7"/>
  <c r="Z7"/>
  <c r="V7"/>
  <c r="R7"/>
  <c r="M7"/>
  <c r="H7"/>
  <c r="L4"/>
  <c r="Q4" s="1"/>
  <c r="DG3"/>
  <c r="DB3"/>
  <c r="CW3"/>
  <c r="CR3"/>
  <c r="CM3"/>
  <c r="CH3"/>
  <c r="CC3"/>
  <c r="BY3"/>
  <c r="BU3"/>
  <c r="BQ3"/>
  <c r="BL3"/>
  <c r="BH3"/>
  <c r="BB3"/>
  <c r="AW3"/>
  <c r="AN3"/>
  <c r="AI3"/>
  <c r="AD3"/>
  <c r="Y3"/>
  <c r="U3"/>
  <c r="Q3"/>
  <c r="L3"/>
  <c r="DG2"/>
  <c r="DB2"/>
  <c r="CW2"/>
  <c r="CR2"/>
  <c r="CM2"/>
  <c r="CH2"/>
  <c r="CC2"/>
  <c r="BY2"/>
  <c r="BU2"/>
  <c r="BQ2"/>
  <c r="BL2"/>
  <c r="BH2"/>
  <c r="BB2"/>
  <c r="AW2"/>
  <c r="AN2"/>
  <c r="AI2"/>
  <c r="AD2"/>
  <c r="Y2"/>
  <c r="U2"/>
  <c r="Q2"/>
  <c r="L2"/>
  <c r="G2"/>
  <c r="B64" i="24"/>
  <c r="B61"/>
  <c r="B60"/>
  <c r="B59"/>
  <c r="B58"/>
  <c r="B40"/>
  <c r="D38"/>
  <c r="K35"/>
  <c r="J35"/>
  <c r="I35"/>
  <c r="H35"/>
  <c r="G35"/>
  <c r="F35"/>
  <c r="E35"/>
  <c r="D34"/>
  <c r="D33"/>
  <c r="D32"/>
  <c r="J30"/>
  <c r="I30"/>
  <c r="F30"/>
  <c r="D30"/>
  <c r="L29"/>
  <c r="I28"/>
  <c r="D28"/>
  <c r="K26"/>
  <c r="G26"/>
  <c r="E26"/>
  <c r="L25"/>
  <c r="J24"/>
  <c r="D24"/>
  <c r="I22"/>
  <c r="I26" s="1"/>
  <c r="H22"/>
  <c r="F22"/>
  <c r="D22"/>
  <c r="K20"/>
  <c r="K37" s="1"/>
  <c r="K40" s="1"/>
  <c r="L53" s="1"/>
  <c r="J20"/>
  <c r="F20"/>
  <c r="I19"/>
  <c r="E19"/>
  <c r="D19" s="1"/>
  <c r="I18"/>
  <c r="D18" s="1"/>
  <c r="A18"/>
  <c r="N15"/>
  <c r="N11"/>
  <c r="A5"/>
  <c r="BB104" i="87"/>
  <c r="C115" i="121" s="1"/>
  <c r="A115" s="1"/>
  <c r="BB98" i="87"/>
  <c r="C109" i="121" s="1"/>
  <c r="BB97" i="87"/>
  <c r="C108" i="121" s="1"/>
  <c r="BB96" i="87"/>
  <c r="C107" i="121" s="1"/>
  <c r="BB95" i="87"/>
  <c r="C106" i="121" s="1"/>
  <c r="BB94" i="87"/>
  <c r="C105" i="121" s="1"/>
  <c r="BB93" i="87"/>
  <c r="C104" i="121" s="1"/>
  <c r="BB92" i="87"/>
  <c r="C103" i="121" s="1"/>
  <c r="BB91" i="87"/>
  <c r="C102" i="121" s="1"/>
  <c r="BB90" i="87"/>
  <c r="C101" i="121" s="1"/>
  <c r="BB89" i="87"/>
  <c r="C100" i="121" s="1"/>
  <c r="BB75" i="87"/>
  <c r="BB74"/>
  <c r="BB63"/>
  <c r="C64" i="121" s="1"/>
  <c r="A64" s="1"/>
  <c r="BB60" i="87"/>
  <c r="C61" i="121" s="1"/>
  <c r="A61" s="1"/>
  <c r="BB59" i="87"/>
  <c r="C60" i="121" s="1"/>
  <c r="BB58" i="87"/>
  <c r="C59" i="121" s="1"/>
  <c r="A59" s="1"/>
  <c r="AI58" i="87"/>
  <c r="BB57"/>
  <c r="C58" i="121" s="1"/>
  <c r="A58" s="1"/>
  <c r="BB56" i="87"/>
  <c r="C57" i="121" s="1"/>
  <c r="BB55" i="87"/>
  <c r="C56" i="121" s="1"/>
  <c r="A56" s="1"/>
  <c r="AX55" i="87"/>
  <c r="AW55"/>
  <c r="BB54"/>
  <c r="C55" i="121" s="1"/>
  <c r="A55" s="1"/>
  <c r="AY54" i="87"/>
  <c r="BB53"/>
  <c r="C54" i="121" s="1"/>
  <c r="AY53" i="87"/>
  <c r="BB52"/>
  <c r="C53" i="121" s="1"/>
  <c r="AY52" i="87"/>
  <c r="BB51"/>
  <c r="C52" i="121" s="1"/>
  <c r="A52" s="1"/>
  <c r="AY51" i="87"/>
  <c r="BB50"/>
  <c r="C51" i="121" s="1"/>
  <c r="AY50" i="87"/>
  <c r="BB48"/>
  <c r="C49" i="121" s="1"/>
  <c r="A49" s="1"/>
  <c r="AY48" i="87"/>
  <c r="BB47"/>
  <c r="C48" i="121" s="1"/>
  <c r="AY47" i="87"/>
  <c r="AG47"/>
  <c r="AH50" s="1"/>
  <c r="AY46"/>
  <c r="AY45"/>
  <c r="AY44"/>
  <c r="BB43"/>
  <c r="AY43"/>
  <c r="BB42"/>
  <c r="C43" i="121" s="1"/>
  <c r="A43" s="1"/>
  <c r="AY42" i="87"/>
  <c r="AY41"/>
  <c r="BB40"/>
  <c r="AY40"/>
  <c r="AY39"/>
  <c r="AG39"/>
  <c r="AH41" s="1"/>
  <c r="C39"/>
  <c r="BB38"/>
  <c r="C39" i="121" s="1"/>
  <c r="AY38" i="87"/>
  <c r="I37"/>
  <c r="C37"/>
  <c r="C38" i="122" s="1"/>
  <c r="AX34" i="87"/>
  <c r="AW34"/>
  <c r="BB33"/>
  <c r="AY33"/>
  <c r="H33"/>
  <c r="D20" i="24" l="1"/>
  <c r="D12" i="121"/>
  <c r="D80" s="1"/>
  <c r="A36" i="114"/>
  <c r="B65" i="24"/>
  <c r="A19"/>
  <c r="A20" s="1"/>
  <c r="E20"/>
  <c r="F44" i="126"/>
  <c r="AY55" i="87"/>
  <c r="AY61" s="1"/>
  <c r="BL21" i="126"/>
  <c r="AN18"/>
  <c r="AN20" s="1"/>
  <c r="AW15"/>
  <c r="AX16"/>
  <c r="D20" i="21"/>
  <c r="A20" s="1"/>
  <c r="DB20" i="126"/>
  <c r="BY25"/>
  <c r="A14"/>
  <c r="A15" s="1"/>
  <c r="A16" s="1"/>
  <c r="A17" s="1"/>
  <c r="A18" s="1"/>
  <c r="A19" s="1"/>
  <c r="A20" s="1"/>
  <c r="F13" i="21"/>
  <c r="R15" i="126"/>
  <c r="AE15"/>
  <c r="AE16" s="1"/>
  <c r="AE17" s="1"/>
  <c r="AE18" s="1"/>
  <c r="AE19" s="1"/>
  <c r="AE20" s="1"/>
  <c r="BI15"/>
  <c r="F14" i="21"/>
  <c r="F15" s="1"/>
  <c r="A15" s="1"/>
  <c r="CR22" i="126"/>
  <c r="H15"/>
  <c r="F15" s="1"/>
  <c r="AO15"/>
  <c r="AO16" s="1"/>
  <c r="BZ15"/>
  <c r="BV15" s="1"/>
  <c r="BV16" s="1"/>
  <c r="CI15"/>
  <c r="CS15"/>
  <c r="CW16"/>
  <c r="CM17"/>
  <c r="AI21"/>
  <c r="CC21"/>
  <c r="CC23" s="1"/>
  <c r="CW21"/>
  <c r="CW31"/>
  <c r="L42"/>
  <c r="BH17"/>
  <c r="BH19" s="1"/>
  <c r="AD26"/>
  <c r="Z18"/>
  <c r="Z19" s="1"/>
  <c r="N53" i="24"/>
  <c r="L18"/>
  <c r="I20"/>
  <c r="I37" s="1"/>
  <c r="I40" s="1"/>
  <c r="L58" s="1"/>
  <c r="N58" s="1"/>
  <c r="C44" i="121"/>
  <c r="I44" i="130"/>
  <c r="H44" s="1"/>
  <c r="G44"/>
  <c r="G45" s="1"/>
  <c r="H45"/>
  <c r="C16" i="111"/>
  <c r="C34" i="121"/>
  <c r="C41"/>
  <c r="D35" i="24"/>
  <c r="L64"/>
  <c r="N64" s="1"/>
  <c r="L38"/>
  <c r="C85" i="121"/>
  <c r="C86"/>
  <c r="L34" i="24"/>
  <c r="L22"/>
  <c r="H26"/>
  <c r="H37" s="1"/>
  <c r="H40" s="1"/>
  <c r="N18"/>
  <c r="L19"/>
  <c r="N19" s="1"/>
  <c r="L24"/>
  <c r="N25"/>
  <c r="D35" i="114" s="1"/>
  <c r="D26" i="24"/>
  <c r="F26"/>
  <c r="J26"/>
  <c r="J37" s="1"/>
  <c r="J40" s="1"/>
  <c r="L30"/>
  <c r="N30" s="1"/>
  <c r="L32"/>
  <c r="L33"/>
  <c r="N33" s="1"/>
  <c r="DB22" i="126"/>
  <c r="DB24" s="1"/>
  <c r="H31" i="114"/>
  <c r="E2" i="122"/>
  <c r="G18" i="11"/>
  <c r="H16" i="127"/>
  <c r="F22"/>
  <c r="D25" i="114"/>
  <c r="E31"/>
  <c r="AY32" i="87"/>
  <c r="N32"/>
  <c r="J32"/>
  <c r="AY31"/>
  <c r="AS31"/>
  <c r="J31"/>
  <c r="BB30"/>
  <c r="AY30"/>
  <c r="M30"/>
  <c r="J30"/>
  <c r="BB41" s="1"/>
  <c r="C42" i="121" s="1"/>
  <c r="C30" i="87"/>
  <c r="AY29"/>
  <c r="AS29"/>
  <c r="AR29"/>
  <c r="BH28"/>
  <c r="BB100" s="1"/>
  <c r="BG28"/>
  <c r="AY28"/>
  <c r="AT28"/>
  <c r="AT29" s="1"/>
  <c r="O28"/>
  <c r="J28"/>
  <c r="E28"/>
  <c r="BI27"/>
  <c r="AY27"/>
  <c r="AM27"/>
  <c r="N27"/>
  <c r="C27"/>
  <c r="BI26"/>
  <c r="BB26"/>
  <c r="AY26"/>
  <c r="AO26"/>
  <c r="AI26"/>
  <c r="AH26"/>
  <c r="BI25"/>
  <c r="BI28" s="1"/>
  <c r="AY25"/>
  <c r="AN25"/>
  <c r="AY24"/>
  <c r="I24"/>
  <c r="H24"/>
  <c r="D24"/>
  <c r="E24" s="1"/>
  <c r="AY23"/>
  <c r="AS23"/>
  <c r="AR23"/>
  <c r="AN23"/>
  <c r="J23"/>
  <c r="AY22"/>
  <c r="AT22"/>
  <c r="AO22"/>
  <c r="N22"/>
  <c r="BB101" s="1"/>
  <c r="M22"/>
  <c r="J22"/>
  <c r="F26" i="21" s="1"/>
  <c r="BB21" i="87"/>
  <c r="AY21"/>
  <c r="AT21"/>
  <c r="AM21"/>
  <c r="C23" s="1"/>
  <c r="C24" i="122" s="1"/>
  <c r="AI21" i="87"/>
  <c r="AI23" s="1"/>
  <c r="AH21"/>
  <c r="AH23" s="1"/>
  <c r="AH28" s="1"/>
  <c r="Y21"/>
  <c r="F28" i="21" s="1"/>
  <c r="O21" i="87"/>
  <c r="C21"/>
  <c r="C22" i="122" s="1"/>
  <c r="A22" s="1"/>
  <c r="AY20" i="87"/>
  <c r="AO20"/>
  <c r="AJ20"/>
  <c r="AJ26" s="1"/>
  <c r="O20"/>
  <c r="AY19"/>
  <c r="AJ19"/>
  <c r="O19"/>
  <c r="O22" s="1"/>
  <c r="I19"/>
  <c r="H19"/>
  <c r="AY18"/>
  <c r="AS18"/>
  <c r="AR18"/>
  <c r="AR25" s="1"/>
  <c r="AJ18"/>
  <c r="X18"/>
  <c r="W18"/>
  <c r="AY17"/>
  <c r="AO17"/>
  <c r="AM17"/>
  <c r="AJ17"/>
  <c r="Y17"/>
  <c r="J17"/>
  <c r="BB82" s="1"/>
  <c r="BH16"/>
  <c r="BB62" s="1"/>
  <c r="BG16"/>
  <c r="BB16"/>
  <c r="AY16"/>
  <c r="AT16"/>
  <c r="AJ16"/>
  <c r="Y16"/>
  <c r="T16"/>
  <c r="N16"/>
  <c r="O16" s="1"/>
  <c r="O24" s="1"/>
  <c r="M16"/>
  <c r="J16"/>
  <c r="BB73" s="1"/>
  <c r="C84" i="121" s="1"/>
  <c r="C16" i="87"/>
  <c r="C17" i="122" s="1"/>
  <c r="C18" s="1"/>
  <c r="BI15" i="87"/>
  <c r="BB15"/>
  <c r="AY15"/>
  <c r="AT15"/>
  <c r="AO15"/>
  <c r="AJ15"/>
  <c r="AJ21" s="1"/>
  <c r="AJ23" s="1"/>
  <c r="AJ28" s="1"/>
  <c r="AC15"/>
  <c r="Y15"/>
  <c r="O15"/>
  <c r="J15"/>
  <c r="BB72" s="1"/>
  <c r="BB80" s="1"/>
  <c r="BI14"/>
  <c r="BE14"/>
  <c r="BE15" s="1"/>
  <c r="AZ14"/>
  <c r="AZ15" s="1"/>
  <c r="AZ16" s="1"/>
  <c r="AZ17" s="1"/>
  <c r="AZ18" s="1"/>
  <c r="AZ19" s="1"/>
  <c r="AY14"/>
  <c r="AU14"/>
  <c r="AU15" s="1"/>
  <c r="AT14"/>
  <c r="AT18" s="1"/>
  <c r="L51" i="86" s="1"/>
  <c r="AP14" i="87"/>
  <c r="AP15" s="1"/>
  <c r="AP16" s="1"/>
  <c r="AO14"/>
  <c r="AK14"/>
  <c r="AK15" s="1"/>
  <c r="AE14"/>
  <c r="AE15" s="1"/>
  <c r="AE16" s="1"/>
  <c r="Z14"/>
  <c r="U14"/>
  <c r="U15" s="1"/>
  <c r="U16" s="1"/>
  <c r="U17" s="1"/>
  <c r="O14"/>
  <c r="BB99" s="1"/>
  <c r="C110" i="121" s="1"/>
  <c r="K14" i="87"/>
  <c r="K15" s="1"/>
  <c r="K16" s="1"/>
  <c r="K17" s="1"/>
  <c r="F14"/>
  <c r="F15" s="1"/>
  <c r="A14"/>
  <c r="A15" s="1"/>
  <c r="A16" s="1"/>
  <c r="AB13"/>
  <c r="AD13" s="1"/>
  <c r="AD15" s="1"/>
  <c r="P13"/>
  <c r="P14" s="1"/>
  <c r="P15" s="1"/>
  <c r="D13"/>
  <c r="D14" i="122" s="1"/>
  <c r="C13" i="87"/>
  <c r="C19" s="1"/>
  <c r="BD11"/>
  <c r="BC11"/>
  <c r="BE7"/>
  <c r="AZ7"/>
  <c r="AP7"/>
  <c r="AK7"/>
  <c r="AE7"/>
  <c r="Z7"/>
  <c r="U7"/>
  <c r="P7"/>
  <c r="A7"/>
  <c r="BI4" s="1"/>
  <c r="BD4" s="1"/>
  <c r="AY4" s="1"/>
  <c r="AT4" s="1"/>
  <c r="AO4" s="1"/>
  <c r="AJ4" s="1"/>
  <c r="AD4" s="1"/>
  <c r="Y4" s="1"/>
  <c r="T4"/>
  <c r="O4"/>
  <c r="J4"/>
  <c r="BI3"/>
  <c r="BD3"/>
  <c r="AY3"/>
  <c r="AT3"/>
  <c r="AO3"/>
  <c r="AJ3"/>
  <c r="AD3"/>
  <c r="Y3"/>
  <c r="T3"/>
  <c r="O3"/>
  <c r="BI2"/>
  <c r="BD2"/>
  <c r="AY2"/>
  <c r="AT2"/>
  <c r="AO2"/>
  <c r="AJ2"/>
  <c r="AD2"/>
  <c r="Y2"/>
  <c r="T2"/>
  <c r="O2"/>
  <c r="J2"/>
  <c r="E2"/>
  <c r="AJ62" i="86"/>
  <c r="AI62"/>
  <c r="AH62"/>
  <c r="AG62"/>
  <c r="AF62"/>
  <c r="AD62"/>
  <c r="AA62"/>
  <c r="Z62"/>
  <c r="Y62"/>
  <c r="X62"/>
  <c r="W62"/>
  <c r="T62"/>
  <c r="S62"/>
  <c r="R62"/>
  <c r="Q62"/>
  <c r="P62"/>
  <c r="J62"/>
  <c r="I62"/>
  <c r="G62"/>
  <c r="D62"/>
  <c r="C62"/>
  <c r="AN61"/>
  <c r="AL61"/>
  <c r="AO61" s="1"/>
  <c r="AP61" s="1"/>
  <c r="AN60"/>
  <c r="AK60"/>
  <c r="AC60"/>
  <c r="AC62" s="1"/>
  <c r="AB60"/>
  <c r="AB62" s="1"/>
  <c r="AN59"/>
  <c r="O59"/>
  <c r="L59"/>
  <c r="K59"/>
  <c r="H59"/>
  <c r="F59"/>
  <c r="E59"/>
  <c r="AN58"/>
  <c r="O58"/>
  <c r="L58"/>
  <c r="K58" s="1"/>
  <c r="K62" s="1"/>
  <c r="F58"/>
  <c r="F62" s="1"/>
  <c r="AN57"/>
  <c r="H57"/>
  <c r="E57"/>
  <c r="AN56"/>
  <c r="AE56"/>
  <c r="AE62" s="1"/>
  <c r="V56"/>
  <c r="V62" s="1"/>
  <c r="U56"/>
  <c r="U62" s="1"/>
  <c r="H56"/>
  <c r="E56"/>
  <c r="AC51"/>
  <c r="BT1" i="126" s="1"/>
  <c r="AB51" i="86"/>
  <c r="K51"/>
  <c r="C51"/>
  <c r="K31" i="130" l="1"/>
  <c r="K27"/>
  <c r="K36"/>
  <c r="K38"/>
  <c r="K42"/>
  <c r="S51" i="86"/>
  <c r="A21" i="126"/>
  <c r="A22" s="1"/>
  <c r="A23" s="1"/>
  <c r="A24" s="1"/>
  <c r="AE21"/>
  <c r="AI23"/>
  <c r="AI25" s="1"/>
  <c r="CS16"/>
  <c r="CS17" s="1"/>
  <c r="CS18" s="1"/>
  <c r="CS19" s="1"/>
  <c r="CS20" s="1"/>
  <c r="CS21" s="1"/>
  <c r="CS22" s="1"/>
  <c r="CH15"/>
  <c r="CI16"/>
  <c r="CI17" s="1"/>
  <c r="AI16"/>
  <c r="AH16" s="1"/>
  <c r="AO17"/>
  <c r="AO18" s="1"/>
  <c r="M15"/>
  <c r="R16"/>
  <c r="CM18"/>
  <c r="BZ16"/>
  <c r="BZ17" s="1"/>
  <c r="BZ18" s="1"/>
  <c r="BZ19" s="1"/>
  <c r="BY19" s="1"/>
  <c r="CC27"/>
  <c r="CC29" s="1"/>
  <c r="BI16"/>
  <c r="BV17"/>
  <c r="BV18" s="1"/>
  <c r="AW16"/>
  <c r="AW17" s="1"/>
  <c r="AX17"/>
  <c r="AX18" s="1"/>
  <c r="AX19" s="1"/>
  <c r="AX20" s="1"/>
  <c r="V51" i="86"/>
  <c r="A47" i="126"/>
  <c r="BC21" i="87"/>
  <c r="BC30"/>
  <c r="BC26"/>
  <c r="D27" i="121" s="1"/>
  <c r="Z20" i="126"/>
  <c r="Z21" s="1"/>
  <c r="D30" i="87"/>
  <c r="D31" i="122" s="1"/>
  <c r="AI28" i="87"/>
  <c r="N24"/>
  <c r="M24" s="1"/>
  <c r="F51" i="86"/>
  <c r="G26" i="21"/>
  <c r="F29"/>
  <c r="AO21" i="87"/>
  <c r="C93" i="121"/>
  <c r="BB84" i="87"/>
  <c r="C95" i="121" s="1"/>
  <c r="A28" i="21"/>
  <c r="G28"/>
  <c r="Y23" i="87"/>
  <c r="AM23"/>
  <c r="J24"/>
  <c r="B37"/>
  <c r="A17"/>
  <c r="AK16"/>
  <c r="AK17" s="1"/>
  <c r="AP17"/>
  <c r="AP18" s="1"/>
  <c r="P17"/>
  <c r="P18" s="1"/>
  <c r="U18"/>
  <c r="AE17"/>
  <c r="AE18" s="1"/>
  <c r="AE19" s="1"/>
  <c r="AE20" s="1"/>
  <c r="AE21" s="1"/>
  <c r="AE22" s="1"/>
  <c r="AE23" s="1"/>
  <c r="F16"/>
  <c r="F17" s="1"/>
  <c r="F18" s="1"/>
  <c r="AU16"/>
  <c r="AU17" s="1"/>
  <c r="AU18" s="1"/>
  <c r="AU19" s="1"/>
  <c r="AU20" s="1"/>
  <c r="AU21" s="1"/>
  <c r="AU22" s="1"/>
  <c r="AU23" s="1"/>
  <c r="P16"/>
  <c r="BE16"/>
  <c r="BE17" s="1"/>
  <c r="AO25"/>
  <c r="AO27" s="1"/>
  <c r="AO31" s="1"/>
  <c r="AN27"/>
  <c r="AM61" i="86"/>
  <c r="K40" i="130"/>
  <c r="K32"/>
  <c r="K26"/>
  <c r="K9"/>
  <c r="K39"/>
  <c r="K23"/>
  <c r="K12"/>
  <c r="AN51" i="86"/>
  <c r="K37" i="130"/>
  <c r="K30"/>
  <c r="K24"/>
  <c r="K41"/>
  <c r="K29"/>
  <c r="K14"/>
  <c r="T18" i="87"/>
  <c r="T20"/>
  <c r="BB32"/>
  <c r="O51" i="86"/>
  <c r="BH1" i="87" s="1"/>
  <c r="BI16"/>
  <c r="BI18" s="1"/>
  <c r="I45" i="130"/>
  <c r="D22" i="121"/>
  <c r="BD21" i="87"/>
  <c r="N1"/>
  <c r="D31" i="121"/>
  <c r="BD30" i="87"/>
  <c r="BC104"/>
  <c r="D115" i="121" s="1"/>
  <c r="BC83" i="87"/>
  <c r="BC78"/>
  <c r="BC76"/>
  <c r="BC60"/>
  <c r="H68" i="114" s="1"/>
  <c r="BC59" i="87"/>
  <c r="H67" i="114" s="1"/>
  <c r="I67" s="1"/>
  <c r="BC57" i="87"/>
  <c r="H65" i="114" s="1"/>
  <c r="BC49" i="87"/>
  <c r="BC48"/>
  <c r="BC47"/>
  <c r="BC38"/>
  <c r="BC101"/>
  <c r="D112" i="121" s="1"/>
  <c r="C112" s="1"/>
  <c r="BC100" i="87"/>
  <c r="D111" i="121" s="1"/>
  <c r="C111" s="1"/>
  <c r="BC99" i="87"/>
  <c r="D110" i="121" s="1"/>
  <c r="BC98" i="87"/>
  <c r="D109" i="121" s="1"/>
  <c r="BC97" i="87"/>
  <c r="D108" i="121" s="1"/>
  <c r="BC96" i="87"/>
  <c r="D107" i="121" s="1"/>
  <c r="BC95" i="87"/>
  <c r="D106" i="121" s="1"/>
  <c r="BC94" i="87"/>
  <c r="D105" i="121" s="1"/>
  <c r="BC93" i="87"/>
  <c r="D104" i="121" s="1"/>
  <c r="BC92" i="87"/>
  <c r="D103" i="121" s="1"/>
  <c r="BC91" i="87"/>
  <c r="D102" i="121" s="1"/>
  <c r="BC90" i="87"/>
  <c r="D101" i="121" s="1"/>
  <c r="BC89" i="87"/>
  <c r="BC85"/>
  <c r="BC82"/>
  <c r="BC79"/>
  <c r="BC77"/>
  <c r="BC75"/>
  <c r="D86" i="121" s="1"/>
  <c r="BC74" i="87"/>
  <c r="D85" i="121" s="1"/>
  <c r="BC73" i="87"/>
  <c r="BC72"/>
  <c r="BC63"/>
  <c r="H71" i="114" s="1"/>
  <c r="I71" s="1"/>
  <c r="BC62" i="87"/>
  <c r="H70" i="114" s="1"/>
  <c r="BC58" i="87"/>
  <c r="H66" i="114" s="1"/>
  <c r="BC56" i="87"/>
  <c r="BC55"/>
  <c r="BC54"/>
  <c r="BC53"/>
  <c r="BC52"/>
  <c r="BC51"/>
  <c r="BC50"/>
  <c r="BC43"/>
  <c r="BC42"/>
  <c r="BC41"/>
  <c r="C16" i="121"/>
  <c r="A16" s="1"/>
  <c r="L62" i="24"/>
  <c r="N62" s="1"/>
  <c r="C17" i="121"/>
  <c r="A17" s="1"/>
  <c r="L63" i="24"/>
  <c r="N63" s="1"/>
  <c r="D25" i="122"/>
  <c r="E25" s="1"/>
  <c r="C28"/>
  <c r="F28" i="24"/>
  <c r="BB39" i="87"/>
  <c r="I33"/>
  <c r="E35" i="114"/>
  <c r="C14" i="111"/>
  <c r="N24" i="24"/>
  <c r="L49"/>
  <c r="N49" s="1"/>
  <c r="N70" s="1"/>
  <c r="L70" s="1"/>
  <c r="N38"/>
  <c r="AL60" i="86"/>
  <c r="AO60" s="1"/>
  <c r="E62"/>
  <c r="E13" i="87"/>
  <c r="C17"/>
  <c r="AD17"/>
  <c r="BB17"/>
  <c r="O27"/>
  <c r="N30"/>
  <c r="E1" i="122"/>
  <c r="F37" i="24"/>
  <c r="BC40" i="87"/>
  <c r="L20" i="24"/>
  <c r="C14" i="122"/>
  <c r="E14" s="1"/>
  <c r="C22" i="121"/>
  <c r="F22" s="1"/>
  <c r="E22" s="1"/>
  <c r="C17" i="111"/>
  <c r="D20" i="114"/>
  <c r="A24" i="122"/>
  <c r="A23" s="1"/>
  <c r="C27"/>
  <c r="C27" i="121"/>
  <c r="F27" s="1"/>
  <c r="C31" i="122"/>
  <c r="A31" s="1"/>
  <c r="C31" i="121"/>
  <c r="E25" i="114"/>
  <c r="L35" i="24"/>
  <c r="L71"/>
  <c r="N32"/>
  <c r="D16" i="114"/>
  <c r="N20" i="24"/>
  <c r="C91" i="121"/>
  <c r="N22" i="24"/>
  <c r="L26"/>
  <c r="L72"/>
  <c r="N34"/>
  <c r="A41" i="121"/>
  <c r="D16" i="111"/>
  <c r="E16" s="1"/>
  <c r="AP60" i="86"/>
  <c r="H62"/>
  <c r="O62"/>
  <c r="AB15" i="87"/>
  <c r="Z15" s="1"/>
  <c r="Z16" s="1"/>
  <c r="Z17" s="1"/>
  <c r="Z18" s="1"/>
  <c r="Y18" s="1"/>
  <c r="H51" i="86" s="1"/>
  <c r="BC15" i="87"/>
  <c r="BC16"/>
  <c r="C26"/>
  <c r="J29"/>
  <c r="J33" s="1"/>
  <c r="J35" s="1"/>
  <c r="E30"/>
  <c r="O30"/>
  <c r="AT31"/>
  <c r="AT32" s="1"/>
  <c r="BC32"/>
  <c r="BC33"/>
  <c r="D37" i="24"/>
  <c r="I65" i="114" l="1"/>
  <c r="AM60" i="86"/>
  <c r="C18" i="121"/>
  <c r="K25" i="130"/>
  <c r="CH17" i="126"/>
  <c r="M13" i="127"/>
  <c r="AV21" i="126"/>
  <c r="BC16"/>
  <c r="BC17" s="1"/>
  <c r="BI17"/>
  <c r="BI18" s="1"/>
  <c r="CI18"/>
  <c r="M16"/>
  <c r="H16" s="1"/>
  <c r="F16" s="1"/>
  <c r="A48"/>
  <c r="AX21"/>
  <c r="AX22" s="1"/>
  <c r="AX23" s="1"/>
  <c r="AX24" s="1"/>
  <c r="BV19"/>
  <c r="CD17"/>
  <c r="CD18" s="1"/>
  <c r="CD19" s="1"/>
  <c r="CH19"/>
  <c r="CH20" s="1"/>
  <c r="CS23"/>
  <c r="CS24" s="1"/>
  <c r="CS25" s="1"/>
  <c r="CR25" s="1"/>
  <c r="CQ25" s="1"/>
  <c r="A25"/>
  <c r="A26" s="1"/>
  <c r="A27" s="1"/>
  <c r="Z22"/>
  <c r="Z23" s="1"/>
  <c r="Z24" s="1"/>
  <c r="Y25" i="87"/>
  <c r="Y26" s="1"/>
  <c r="F39" i="21"/>
  <c r="BB25" i="87"/>
  <c r="G29" i="21"/>
  <c r="AT23" i="87"/>
  <c r="BB103" s="1"/>
  <c r="AU24"/>
  <c r="AU25" s="1"/>
  <c r="A18"/>
  <c r="A19" s="1"/>
  <c r="A20" s="1"/>
  <c r="A21" s="1"/>
  <c r="F19"/>
  <c r="F20" s="1"/>
  <c r="F21" s="1"/>
  <c r="F22" s="1"/>
  <c r="K18"/>
  <c r="K19" s="1"/>
  <c r="P19"/>
  <c r="P20" s="1"/>
  <c r="AK18"/>
  <c r="AP19"/>
  <c r="K8" i="130"/>
  <c r="C18" i="111"/>
  <c r="C33" i="121"/>
  <c r="A33" s="1"/>
  <c r="T21" i="87"/>
  <c r="BE18"/>
  <c r="BE19" s="1"/>
  <c r="BE20" s="1"/>
  <c r="BI20"/>
  <c r="BI22" s="1"/>
  <c r="O32"/>
  <c r="O33" s="1"/>
  <c r="D16" i="121"/>
  <c r="BC17" i="87"/>
  <c r="BD15"/>
  <c r="N72" i="24"/>
  <c r="D28" i="114"/>
  <c r="D15" i="87"/>
  <c r="D21"/>
  <c r="D29" i="114"/>
  <c r="N71" i="24"/>
  <c r="N35"/>
  <c r="D31" i="87"/>
  <c r="D17" i="111"/>
  <c r="E17" s="1"/>
  <c r="D41" i="121"/>
  <c r="F41" s="1"/>
  <c r="BD40" i="87"/>
  <c r="G28" i="24"/>
  <c r="G37" s="1"/>
  <c r="G40" s="1"/>
  <c r="BB61" i="87"/>
  <c r="C40" i="121"/>
  <c r="BB44" i="87"/>
  <c r="BC39"/>
  <c r="BC44" s="1"/>
  <c r="D42" i="121"/>
  <c r="F42" s="1"/>
  <c r="BD41" i="87"/>
  <c r="D44" i="121"/>
  <c r="F44" s="1"/>
  <c r="BD43" i="87"/>
  <c r="D52" i="121"/>
  <c r="F52" s="1"/>
  <c r="BD51" i="87"/>
  <c r="D54" i="121"/>
  <c r="F54" s="1"/>
  <c r="BD53" i="87"/>
  <c r="D56" i="121"/>
  <c r="F56" s="1"/>
  <c r="BD55" i="87"/>
  <c r="D59" i="121"/>
  <c r="F59" s="1"/>
  <c r="BD58" i="87"/>
  <c r="D64" i="121"/>
  <c r="F64" s="1"/>
  <c r="BD63" i="87"/>
  <c r="D84" i="121"/>
  <c r="N57" i="86"/>
  <c r="D90" i="121"/>
  <c r="D96"/>
  <c r="D39"/>
  <c r="F39" s="1"/>
  <c r="BD38" i="87"/>
  <c r="D49" i="121"/>
  <c r="F49" s="1"/>
  <c r="BD48" i="87"/>
  <c r="D58" i="121"/>
  <c r="F58" s="1"/>
  <c r="BD57" i="87"/>
  <c r="D61" i="121"/>
  <c r="F61" s="1"/>
  <c r="BD60" i="87"/>
  <c r="D89" i="121"/>
  <c r="BB102" i="87"/>
  <c r="D18" i="114"/>
  <c r="D34" i="121"/>
  <c r="F34" s="1"/>
  <c r="BD33" i="87"/>
  <c r="D22" i="114"/>
  <c r="I35" i="87"/>
  <c r="H35" s="1"/>
  <c r="J37"/>
  <c r="J38" s="1"/>
  <c r="D40" i="24"/>
  <c r="D33" i="121"/>
  <c r="D21" i="114"/>
  <c r="BD32" i="87"/>
  <c r="D17" i="121"/>
  <c r="BD16" i="87"/>
  <c r="D17" i="114"/>
  <c r="N26" i="24"/>
  <c r="D23" i="87"/>
  <c r="E16" i="114"/>
  <c r="A31" i="121"/>
  <c r="A30" s="1"/>
  <c r="A29" s="1"/>
  <c r="F31"/>
  <c r="E20" i="114"/>
  <c r="H20"/>
  <c r="E37" i="24"/>
  <c r="E40" s="1"/>
  <c r="F40"/>
  <c r="L52" s="1"/>
  <c r="N52" s="1"/>
  <c r="A18" i="121"/>
  <c r="F17" s="1"/>
  <c r="H43" i="103"/>
  <c r="F43" s="1"/>
  <c r="D14" i="111"/>
  <c r="E14" s="1"/>
  <c r="D43" i="121"/>
  <c r="F43" s="1"/>
  <c r="BD42" i="87"/>
  <c r="D51" i="121"/>
  <c r="F51" s="1"/>
  <c r="BD50" i="87"/>
  <c r="D53" i="121"/>
  <c r="F53" s="1"/>
  <c r="BD52" i="87"/>
  <c r="D55" i="121"/>
  <c r="F55" s="1"/>
  <c r="BD54" i="87"/>
  <c r="D57" i="121"/>
  <c r="F57" s="1"/>
  <c r="BD56" i="87"/>
  <c r="D63" i="121"/>
  <c r="C63" s="1"/>
  <c r="F63" s="1"/>
  <c r="BD62" i="87"/>
  <c r="D83" i="121"/>
  <c r="C83" s="1"/>
  <c r="A83" s="1"/>
  <c r="A82" s="1"/>
  <c r="BC80" i="87"/>
  <c r="D88" i="121"/>
  <c r="D93"/>
  <c r="BC84" i="87"/>
  <c r="D100" i="121"/>
  <c r="D48"/>
  <c r="F48" s="1"/>
  <c r="BD47" i="87"/>
  <c r="D50" i="121"/>
  <c r="F50" s="1"/>
  <c r="BD49" i="87"/>
  <c r="D60" i="121"/>
  <c r="F60" s="1"/>
  <c r="BD59" i="87"/>
  <c r="D87" i="121"/>
  <c r="D94"/>
  <c r="E31"/>
  <c r="E31" i="122"/>
  <c r="AD19" i="87"/>
  <c r="Z19" s="1"/>
  <c r="L28" i="24"/>
  <c r="N28" s="1"/>
  <c r="F16" i="121"/>
  <c r="AN46" i="86"/>
  <c r="S46"/>
  <c r="I46" l="1"/>
  <c r="CD20" i="126"/>
  <c r="BZ20" s="1"/>
  <c r="BV20"/>
  <c r="BZ21"/>
  <c r="BC18"/>
  <c r="BC19" s="1"/>
  <c r="BI19"/>
  <c r="A49"/>
  <c r="CW26"/>
  <c r="A28"/>
  <c r="M15" i="127"/>
  <c r="J49" i="126"/>
  <c r="E43"/>
  <c r="P26"/>
  <c r="Q26" s="1"/>
  <c r="M17" i="127"/>
  <c r="E61" i="121"/>
  <c r="E43"/>
  <c r="Z25" i="126"/>
  <c r="Z26" s="1"/>
  <c r="Z27" s="1"/>
  <c r="Z28" s="1"/>
  <c r="Z29" s="1"/>
  <c r="E17" i="121"/>
  <c r="BB105" i="87"/>
  <c r="C116" i="121" s="1"/>
  <c r="BC102" i="87"/>
  <c r="G39" i="21"/>
  <c r="G43"/>
  <c r="E34" i="121"/>
  <c r="E54"/>
  <c r="C114"/>
  <c r="BC103" i="87"/>
  <c r="D114" i="121" s="1"/>
  <c r="BC25" i="87"/>
  <c r="BB27"/>
  <c r="C26" i="121"/>
  <c r="U19" i="87"/>
  <c r="U20" s="1"/>
  <c r="U21" s="1"/>
  <c r="U22" s="1"/>
  <c r="U23" s="1"/>
  <c r="U24" s="1"/>
  <c r="U25" s="1"/>
  <c r="Z20"/>
  <c r="Z21" s="1"/>
  <c r="A22"/>
  <c r="F23"/>
  <c r="F24" s="1"/>
  <c r="F25" s="1"/>
  <c r="F26" s="1"/>
  <c r="AT25"/>
  <c r="AU26"/>
  <c r="AK19"/>
  <c r="AK20" s="1"/>
  <c r="AK21" s="1"/>
  <c r="AP20"/>
  <c r="AP21" s="1"/>
  <c r="AP22" s="1"/>
  <c r="AP23" s="1"/>
  <c r="J19"/>
  <c r="K20"/>
  <c r="K21" s="1"/>
  <c r="K22" s="1"/>
  <c r="K23" s="1"/>
  <c r="K24" s="1"/>
  <c r="F33" i="121"/>
  <c r="P21" i="87"/>
  <c r="N37" i="24"/>
  <c r="L37" s="1"/>
  <c r="A18" i="111"/>
  <c r="D18"/>
  <c r="E18" s="1"/>
  <c r="E44" i="121"/>
  <c r="D27" i="87"/>
  <c r="E48" i="121"/>
  <c r="D95"/>
  <c r="N59" i="86"/>
  <c r="D91" i="121"/>
  <c r="BC86" i="87"/>
  <c r="K28" i="130"/>
  <c r="D24" i="122"/>
  <c r="E23" i="87"/>
  <c r="E26" s="1"/>
  <c r="D26"/>
  <c r="E17" i="114"/>
  <c r="E21"/>
  <c r="H21"/>
  <c r="H22"/>
  <c r="I22" s="1"/>
  <c r="E22"/>
  <c r="I20"/>
  <c r="H18"/>
  <c r="E18"/>
  <c r="E39" i="121"/>
  <c r="D40"/>
  <c r="F40" s="1"/>
  <c r="BD39" i="87"/>
  <c r="BD44" s="1"/>
  <c r="K34" i="130"/>
  <c r="H29" i="114"/>
  <c r="E29"/>
  <c r="D22" i="122"/>
  <c r="E22" s="1"/>
  <c r="D29" i="87"/>
  <c r="E21"/>
  <c r="E28" i="114"/>
  <c r="K13" i="130"/>
  <c r="E50" i="121"/>
  <c r="E63"/>
  <c r="AD21" i="87"/>
  <c r="E58" i="121"/>
  <c r="E64"/>
  <c r="E41"/>
  <c r="C45"/>
  <c r="C62"/>
  <c r="BC61" i="87"/>
  <c r="H69" i="114" s="1"/>
  <c r="BB64" i="87"/>
  <c r="D32" i="122"/>
  <c r="E32" s="1"/>
  <c r="E31" i="87"/>
  <c r="D16" i="122"/>
  <c r="E15" i="87"/>
  <c r="E16" i="121"/>
  <c r="BD17" i="87"/>
  <c r="AL46" i="86"/>
  <c r="E60" i="121"/>
  <c r="E57"/>
  <c r="E55"/>
  <c r="E53"/>
  <c r="E51"/>
  <c r="E33"/>
  <c r="E49"/>
  <c r="E59"/>
  <c r="E56"/>
  <c r="E52"/>
  <c r="E42"/>
  <c r="AN45" i="86"/>
  <c r="AJ45"/>
  <c r="AG45"/>
  <c r="AF45"/>
  <c r="AE45"/>
  <c r="AB45"/>
  <c r="Z45"/>
  <c r="W45"/>
  <c r="V45" s="1"/>
  <c r="O45"/>
  <c r="M45"/>
  <c r="L45"/>
  <c r="K45"/>
  <c r="H45"/>
  <c r="G45"/>
  <c r="F45"/>
  <c r="E45"/>
  <c r="AN44"/>
  <c r="AH44"/>
  <c r="AA44"/>
  <c r="Z44" s="1"/>
  <c r="Y44"/>
  <c r="U44"/>
  <c r="G44"/>
  <c r="E44"/>
  <c r="AN43"/>
  <c r="I43"/>
  <c r="AN42"/>
  <c r="AE42"/>
  <c r="U42"/>
  <c r="R42"/>
  <c r="Q42"/>
  <c r="O42"/>
  <c r="N42"/>
  <c r="M42"/>
  <c r="F42" s="1"/>
  <c r="AN41"/>
  <c r="N41"/>
  <c r="AN40"/>
  <c r="N40"/>
  <c r="M40"/>
  <c r="AN39"/>
  <c r="V39"/>
  <c r="N39"/>
  <c r="H39"/>
  <c r="E39" s="1"/>
  <c r="I69" i="114" l="1"/>
  <c r="I72" s="1"/>
  <c r="H72"/>
  <c r="N40" i="24"/>
  <c r="F43" i="126"/>
  <c r="G45" s="1"/>
  <c r="P28"/>
  <c r="J53"/>
  <c r="E47"/>
  <c r="F47" s="1"/>
  <c r="G48" s="1"/>
  <c r="CS26"/>
  <c r="CW34"/>
  <c r="BI20"/>
  <c r="BI21" s="1"/>
  <c r="A50"/>
  <c r="BV21"/>
  <c r="BZ22"/>
  <c r="CS27"/>
  <c r="CR27" s="1"/>
  <c r="T29"/>
  <c r="Z30"/>
  <c r="Z31" s="1"/>
  <c r="E51" i="86"/>
  <c r="I1" i="87"/>
  <c r="AS25"/>
  <c r="AS1"/>
  <c r="BC27"/>
  <c r="D28" i="121" s="1"/>
  <c r="D26"/>
  <c r="E40"/>
  <c r="F26"/>
  <c r="C28"/>
  <c r="F28" s="1"/>
  <c r="D113"/>
  <c r="C113" s="1"/>
  <c r="BC105" i="87"/>
  <c r="BC107" s="1"/>
  <c r="AO23"/>
  <c r="AO29" s="1"/>
  <c r="AO33" s="1"/>
  <c r="AP24"/>
  <c r="AU27"/>
  <c r="AU28" s="1"/>
  <c r="AU29" s="1"/>
  <c r="AU30" s="1"/>
  <c r="AL30"/>
  <c r="AK22"/>
  <c r="AK23" s="1"/>
  <c r="BE21"/>
  <c r="BE22" s="1"/>
  <c r="BE23" s="1"/>
  <c r="A23"/>
  <c r="A24" s="1"/>
  <c r="A25" s="1"/>
  <c r="A26" s="1"/>
  <c r="A27" s="1"/>
  <c r="A28" s="1"/>
  <c r="K25"/>
  <c r="U26"/>
  <c r="E16" i="122"/>
  <c r="C66" i="121"/>
  <c r="L40" i="24"/>
  <c r="BB86" i="87"/>
  <c r="D97" i="121"/>
  <c r="AL42" i="86"/>
  <c r="I21" i="114"/>
  <c r="AO46" i="86"/>
  <c r="AP46" s="1"/>
  <c r="AM46"/>
  <c r="E18" i="121"/>
  <c r="D18" s="1"/>
  <c r="F18" s="1"/>
  <c r="D62"/>
  <c r="F62" s="1"/>
  <c r="BD61" i="87"/>
  <c r="BD64" s="1"/>
  <c r="BC64"/>
  <c r="D66" i="121" s="1"/>
  <c r="C29" i="87"/>
  <c r="A29" s="1"/>
  <c r="A30" s="1"/>
  <c r="D33"/>
  <c r="D27" i="122"/>
  <c r="E24"/>
  <c r="E27" s="1"/>
  <c r="D28"/>
  <c r="E28" s="1"/>
  <c r="E27" i="87"/>
  <c r="E29" s="1"/>
  <c r="E33" s="1"/>
  <c r="N51" i="86"/>
  <c r="AN38"/>
  <c r="AJ38"/>
  <c r="AH38"/>
  <c r="AG38"/>
  <c r="AF38"/>
  <c r="AB38"/>
  <c r="AA38" s="1"/>
  <c r="Y38"/>
  <c r="W38"/>
  <c r="U38"/>
  <c r="E38"/>
  <c r="AN37"/>
  <c r="R37"/>
  <c r="AN36"/>
  <c r="AH36"/>
  <c r="Y36"/>
  <c r="R36"/>
  <c r="AN35"/>
  <c r="AH35"/>
  <c r="AC35"/>
  <c r="AB35"/>
  <c r="Y35"/>
  <c r="R35"/>
  <c r="AN34"/>
  <c r="AH34"/>
  <c r="Y34"/>
  <c r="U34"/>
  <c r="J34" s="1"/>
  <c r="AN33"/>
  <c r="AH33"/>
  <c r="Y33" s="1"/>
  <c r="J33" s="1"/>
  <c r="AN32"/>
  <c r="CW35" i="126" l="1"/>
  <c r="G50"/>
  <c r="P44" i="86"/>
  <c r="Q28" i="126"/>
  <c r="R44" i="86" s="1"/>
  <c r="CR28" i="126"/>
  <c r="AH45" i="86" s="1"/>
  <c r="BV22" i="126"/>
  <c r="BZ23"/>
  <c r="BZ24" s="1"/>
  <c r="AL36" i="86"/>
  <c r="AM36" s="1"/>
  <c r="D30" i="114"/>
  <c r="C97" i="121"/>
  <c r="BD105" i="87"/>
  <c r="D116" i="121"/>
  <c r="N58" i="86"/>
  <c r="BE24" i="87"/>
  <c r="BE25" s="1"/>
  <c r="AU31"/>
  <c r="AU32" s="1"/>
  <c r="AU33" s="1"/>
  <c r="AU34" s="1"/>
  <c r="AK24"/>
  <c r="AP25"/>
  <c r="AP26" s="1"/>
  <c r="AP27" s="1"/>
  <c r="AP28" s="1"/>
  <c r="AP29" s="1"/>
  <c r="AP30" s="1"/>
  <c r="AP31" s="1"/>
  <c r="AP32" s="1"/>
  <c r="K26"/>
  <c r="K27" s="1"/>
  <c r="C33"/>
  <c r="E30" i="122"/>
  <c r="E34" s="1"/>
  <c r="D32" i="114"/>
  <c r="H73" s="1"/>
  <c r="AO36" i="86"/>
  <c r="AP36" s="1"/>
  <c r="D30" i="122"/>
  <c r="N56" i="86"/>
  <c r="A31" i="87"/>
  <c r="A32" s="1"/>
  <c r="A33" s="1"/>
  <c r="D33" i="86"/>
  <c r="D42" i="124"/>
  <c r="AR46" i="86"/>
  <c r="AO42"/>
  <c r="AM42"/>
  <c r="D118" i="121"/>
  <c r="BD86" i="87"/>
  <c r="E62" i="121"/>
  <c r="AL37" i="86"/>
  <c r="AO37" s="1"/>
  <c r="F66" i="121"/>
  <c r="E66" s="1"/>
  <c r="AH32" i="86"/>
  <c r="Y32"/>
  <c r="U32" s="1"/>
  <c r="N32"/>
  <c r="M32"/>
  <c r="E32"/>
  <c r="D32"/>
  <c r="AQ30"/>
  <c r="AK30"/>
  <c r="AK47" s="1"/>
  <c r="AJ30"/>
  <c r="AJ47" s="1"/>
  <c r="AI30"/>
  <c r="AG30"/>
  <c r="AG47" s="1"/>
  <c r="AF30"/>
  <c r="AF47" s="1"/>
  <c r="AE30"/>
  <c r="AE47" s="1"/>
  <c r="AD30"/>
  <c r="AC30"/>
  <c r="AC47" s="1"/>
  <c r="AB30"/>
  <c r="AB47" s="1"/>
  <c r="AA30"/>
  <c r="Z30"/>
  <c r="Z47" s="1"/>
  <c r="X30"/>
  <c r="W30"/>
  <c r="V30"/>
  <c r="U30"/>
  <c r="T30"/>
  <c r="S30"/>
  <c r="Q30"/>
  <c r="P30"/>
  <c r="O30"/>
  <c r="J30"/>
  <c r="I30"/>
  <c r="I47" s="1"/>
  <c r="H30"/>
  <c r="H47" s="1"/>
  <c r="G30"/>
  <c r="C30"/>
  <c r="AN29"/>
  <c r="R29"/>
  <c r="D29" s="1"/>
  <c r="AN28"/>
  <c r="N28"/>
  <c r="M28"/>
  <c r="F28"/>
  <c r="E28"/>
  <c r="D28" s="1"/>
  <c r="AN27"/>
  <c r="AH27"/>
  <c r="AH30" s="1"/>
  <c r="Y27"/>
  <c r="Y30" s="1"/>
  <c r="N27"/>
  <c r="M27"/>
  <c r="L27"/>
  <c r="K27"/>
  <c r="E27"/>
  <c r="E30" s="1"/>
  <c r="D27"/>
  <c r="AN26"/>
  <c r="N26"/>
  <c r="M26"/>
  <c r="D26" s="1"/>
  <c r="AK21"/>
  <c r="AJ21"/>
  <c r="AI21"/>
  <c r="AH21"/>
  <c r="AG21"/>
  <c r="AF21"/>
  <c r="AE21"/>
  <c r="AD21"/>
  <c r="AC21"/>
  <c r="AB21"/>
  <c r="AA21"/>
  <c r="Z21"/>
  <c r="Y21"/>
  <c r="X21"/>
  <c r="V21"/>
  <c r="U21"/>
  <c r="T21"/>
  <c r="S21"/>
  <c r="O21"/>
  <c r="M21"/>
  <c r="L21"/>
  <c r="K21"/>
  <c r="J21"/>
  <c r="I21"/>
  <c r="I49" s="1"/>
  <c r="G21"/>
  <c r="F21"/>
  <c r="E21"/>
  <c r="C21"/>
  <c r="AN20"/>
  <c r="R20"/>
  <c r="Q20" s="1"/>
  <c r="AN19"/>
  <c r="N19"/>
  <c r="D19"/>
  <c r="AQ18"/>
  <c r="AN18"/>
  <c r="Q18"/>
  <c r="P18"/>
  <c r="AN17"/>
  <c r="R17"/>
  <c r="P17"/>
  <c r="P21" s="1"/>
  <c r="A17"/>
  <c r="R14"/>
  <c r="Q14"/>
  <c r="E14"/>
  <c r="F14" s="1"/>
  <c r="G14" s="1"/>
  <c r="H14" s="1"/>
  <c r="I14" s="1"/>
  <c r="J14" s="1"/>
  <c r="K14" s="1"/>
  <c r="L14" s="1"/>
  <c r="M14" s="1"/>
  <c r="N14" s="1"/>
  <c r="O14" s="1"/>
  <c r="C7"/>
  <c r="L7" s="1"/>
  <c r="AE6"/>
  <c r="U6"/>
  <c r="L6"/>
  <c r="L5"/>
  <c r="U5" s="1"/>
  <c r="AE5" s="1"/>
  <c r="AM3"/>
  <c r="AD3"/>
  <c r="T3"/>
  <c r="K3"/>
  <c r="AM2"/>
  <c r="AD2"/>
  <c r="T2"/>
  <c r="K2"/>
  <c r="E32" i="114" l="1"/>
  <c r="A18" i="86"/>
  <c r="A19" s="1"/>
  <c r="A20" s="1"/>
  <c r="G47"/>
  <c r="G49" s="1"/>
  <c r="AB49"/>
  <c r="AF49"/>
  <c r="A21"/>
  <c r="AC49"/>
  <c r="L73" i="24"/>
  <c r="N73" s="1"/>
  <c r="L30" i="86"/>
  <c r="L47" s="1"/>
  <c r="C35" i="87"/>
  <c r="AG49" i="86"/>
  <c r="E30" i="114"/>
  <c r="H30"/>
  <c r="BI22" i="126"/>
  <c r="BV23"/>
  <c r="BL23" s="1"/>
  <c r="CR29"/>
  <c r="BV24"/>
  <c r="BV25" s="1"/>
  <c r="BZ25"/>
  <c r="BZ26" s="1"/>
  <c r="D19" i="21"/>
  <c r="CW37" i="126"/>
  <c r="D6" i="114"/>
  <c r="E116" i="121"/>
  <c r="AU35" i="87"/>
  <c r="F27"/>
  <c r="F28" s="1"/>
  <c r="F29" s="1"/>
  <c r="F30" s="1"/>
  <c r="F31" s="1"/>
  <c r="F32" s="1"/>
  <c r="F33" s="1"/>
  <c r="K28"/>
  <c r="AE24"/>
  <c r="AK25"/>
  <c r="BD25"/>
  <c r="BE26"/>
  <c r="BU1" i="126"/>
  <c r="C47" i="86"/>
  <c r="AH47"/>
  <c r="E97" i="121"/>
  <c r="D8" i="114"/>
  <c r="E42" i="124"/>
  <c r="CM1" i="126"/>
  <c r="H49" i="86"/>
  <c r="AD1" i="87"/>
  <c r="D31" i="124"/>
  <c r="AR36" i="86"/>
  <c r="N21"/>
  <c r="R21"/>
  <c r="D30"/>
  <c r="F30"/>
  <c r="F47" s="1"/>
  <c r="K30"/>
  <c r="K47" s="1"/>
  <c r="M30"/>
  <c r="R30"/>
  <c r="AL32"/>
  <c r="BQ1" i="126"/>
  <c r="AE49" i="86"/>
  <c r="CH1" i="126"/>
  <c r="AL33" i="86"/>
  <c r="T1" i="87"/>
  <c r="B35"/>
  <c r="A34"/>
  <c r="N62" i="86"/>
  <c r="AL56"/>
  <c r="C30" i="122"/>
  <c r="D34"/>
  <c r="AL18" i="86"/>
  <c r="AO18" s="1"/>
  <c r="AP18" s="1"/>
  <c r="AL19"/>
  <c r="AL26"/>
  <c r="AL28"/>
  <c r="AL29"/>
  <c r="N30"/>
  <c r="AM37"/>
  <c r="A35" i="87" l="1"/>
  <c r="D9" i="114"/>
  <c r="D22" i="21"/>
  <c r="A22" s="1"/>
  <c r="F21" s="1"/>
  <c r="E21" s="1"/>
  <c r="A21" s="1"/>
  <c r="F20" s="1"/>
  <c r="E20" s="1"/>
  <c r="F19"/>
  <c r="BV26" i="126"/>
  <c r="BZ27"/>
  <c r="BB22"/>
  <c r="BI23"/>
  <c r="BI24" s="1"/>
  <c r="CW39"/>
  <c r="AI38" i="86"/>
  <c r="BL24" i="126"/>
  <c r="AA45" i="86"/>
  <c r="AA47" s="1"/>
  <c r="AA49" s="1"/>
  <c r="BB25" i="126"/>
  <c r="E26" i="121"/>
  <c r="BD26" i="87"/>
  <c r="E27" i="121" s="1"/>
  <c r="BE27" i="87"/>
  <c r="BE28" s="1"/>
  <c r="AE25"/>
  <c r="AE26" s="1"/>
  <c r="AK26"/>
  <c r="AK27" s="1"/>
  <c r="AU36"/>
  <c r="D13" i="124"/>
  <c r="AR18" i="86"/>
  <c r="AO29"/>
  <c r="AP29" s="1"/>
  <c r="AM29"/>
  <c r="AO19"/>
  <c r="AP19" s="1"/>
  <c r="AM19"/>
  <c r="BC1" i="87"/>
  <c r="B54" i="24"/>
  <c r="A36" i="87"/>
  <c r="AO33" i="86"/>
  <c r="AP33" s="1"/>
  <c r="AR33" s="1"/>
  <c r="AM33"/>
  <c r="AO32"/>
  <c r="AP32" s="1"/>
  <c r="AM32"/>
  <c r="E47"/>
  <c r="F49"/>
  <c r="E31" i="124"/>
  <c r="K19" i="130"/>
  <c r="AO26" i="86"/>
  <c r="AM26"/>
  <c r="AO28"/>
  <c r="AM28"/>
  <c r="J35" i="130"/>
  <c r="AO56" i="86"/>
  <c r="AM56"/>
  <c r="Z49"/>
  <c r="C34" i="122"/>
  <c r="AM18" i="86"/>
  <c r="BL1" i="126" l="1"/>
  <c r="BD27" i="87"/>
  <c r="E28" i="121" s="1"/>
  <c r="F22" i="21"/>
  <c r="BA25" i="126"/>
  <c r="AZ25" s="1"/>
  <c r="AX25" s="1"/>
  <c r="AX26" s="1"/>
  <c r="BB27"/>
  <c r="CW40"/>
  <c r="AI45" i="86"/>
  <c r="AI47" s="1"/>
  <c r="BV27" i="126"/>
  <c r="BZ28"/>
  <c r="AE27" i="87"/>
  <c r="AE28" s="1"/>
  <c r="AK28"/>
  <c r="AK29" s="1"/>
  <c r="AL31"/>
  <c r="J14" i="130"/>
  <c r="J12"/>
  <c r="D24" i="114"/>
  <c r="I30"/>
  <c r="E49" i="86"/>
  <c r="O1" i="87"/>
  <c r="A37"/>
  <c r="J34" i="130"/>
  <c r="D14" i="124"/>
  <c r="AR19" i="86"/>
  <c r="D24" i="124"/>
  <c r="AR29" i="86"/>
  <c r="A13" i="124"/>
  <c r="E13"/>
  <c r="BH1" i="126"/>
  <c r="AP56" i="86"/>
  <c r="AP26"/>
  <c r="J39" i="130"/>
  <c r="D27" i="124"/>
  <c r="D26" i="114"/>
  <c r="AR32" i="86"/>
  <c r="L62"/>
  <c r="D27" i="114"/>
  <c r="BY28" i="126" l="1"/>
  <c r="BZ29"/>
  <c r="AX27"/>
  <c r="BB29"/>
  <c r="AE29" i="87"/>
  <c r="K29" s="1"/>
  <c r="K30" s="1"/>
  <c r="AK30"/>
  <c r="E27" i="114"/>
  <c r="E26"/>
  <c r="H26"/>
  <c r="I26" s="1"/>
  <c r="E27" i="124"/>
  <c r="J37" i="130"/>
  <c r="J13"/>
  <c r="D21" i="124"/>
  <c r="AR26" i="86"/>
  <c r="K17" i="130"/>
  <c r="E24" i="124"/>
  <c r="A14"/>
  <c r="H13" s="1"/>
  <c r="E14"/>
  <c r="J1" i="87"/>
  <c r="J38" i="130"/>
  <c r="E24" i="114"/>
  <c r="J33" i="130"/>
  <c r="BV28" i="126" l="1"/>
  <c r="AX28" s="1"/>
  <c r="AX29" s="1"/>
  <c r="AX30" s="1"/>
  <c r="BY30"/>
  <c r="AD38" i="86"/>
  <c r="BB30" i="126"/>
  <c r="Y45" i="86"/>
  <c r="Y47" s="1"/>
  <c r="Y49" s="1"/>
  <c r="BV29" i="126"/>
  <c r="BZ30"/>
  <c r="AE30" i="87"/>
  <c r="AK31"/>
  <c r="AL21"/>
  <c r="J10" i="130"/>
  <c r="J32"/>
  <c r="E21" i="124"/>
  <c r="K16" i="130"/>
  <c r="BV30" i="126" l="1"/>
  <c r="AD45" i="86"/>
  <c r="BB1" i="126"/>
  <c r="AD47" i="86"/>
  <c r="AD49" s="1"/>
  <c r="BY31" i="126"/>
  <c r="AE31" i="87"/>
  <c r="K31" s="1"/>
  <c r="K32" s="1"/>
  <c r="K33" s="1"/>
  <c r="AK32"/>
  <c r="H14" i="124"/>
  <c r="D16" i="87"/>
  <c r="E16" s="1"/>
  <c r="G16" i="124"/>
  <c r="F29" i="11"/>
  <c r="F31" s="1"/>
  <c r="AP28" i="86"/>
  <c r="H21" i="124"/>
  <c r="AL27" i="86"/>
  <c r="AO27" s="1"/>
  <c r="H24" i="124"/>
  <c r="AR28" i="86"/>
  <c r="D23" i="114"/>
  <c r="E23" s="1"/>
  <c r="L51" i="24"/>
  <c r="F14" i="127"/>
  <c r="H14" s="1"/>
  <c r="G22"/>
  <c r="H22" s="1"/>
  <c r="I18" i="114"/>
  <c r="BB20" i="87"/>
  <c r="BC20" s="1"/>
  <c r="I29" i="114"/>
  <c r="I31"/>
  <c r="G28" i="11"/>
  <c r="G31" s="1"/>
  <c r="G34" s="1"/>
  <c r="D34" i="114" s="1"/>
  <c r="AL57" i="86"/>
  <c r="AO57" s="1"/>
  <c r="AP57" s="1"/>
  <c r="AL59"/>
  <c r="AO59" s="1"/>
  <c r="AP59" s="1"/>
  <c r="AK62"/>
  <c r="AK51" s="1"/>
  <c r="AL30"/>
  <c r="AM30" s="1"/>
  <c r="AL34"/>
  <c r="AM34" s="1"/>
  <c r="AS19" i="126"/>
  <c r="AT19"/>
  <c r="AU19"/>
  <c r="AL39" i="86"/>
  <c r="AM39" s="1"/>
  <c r="AL40"/>
  <c r="AM40" s="1"/>
  <c r="AL43"/>
  <c r="AM43" s="1"/>
  <c r="G52" i="126"/>
  <c r="P45" i="86" s="1"/>
  <c r="U15" i="126"/>
  <c r="U16" s="1"/>
  <c r="M19" i="127"/>
  <c r="M20" s="1"/>
  <c r="M21" s="1"/>
  <c r="C21" s="1"/>
  <c r="L49" i="86"/>
  <c r="L48" i="24"/>
  <c r="U7" i="86"/>
  <c r="AE7" s="1"/>
  <c r="O47"/>
  <c r="O49" s="1"/>
  <c r="BI1" i="87" s="1"/>
  <c r="M47" i="86"/>
  <c r="AN21"/>
  <c r="AM27"/>
  <c r="AO34"/>
  <c r="AP34" s="1"/>
  <c r="AP37"/>
  <c r="AR37" s="1"/>
  <c r="D45" i="121"/>
  <c r="F45" s="1"/>
  <c r="E45"/>
  <c r="D19" i="87"/>
  <c r="D35" s="1"/>
  <c r="V47" i="86"/>
  <c r="V49" s="1"/>
  <c r="M49"/>
  <c r="W47"/>
  <c r="W49" s="1"/>
  <c r="AH49"/>
  <c r="AI49"/>
  <c r="AJ49"/>
  <c r="AO39"/>
  <c r="AP39" s="1"/>
  <c r="AO40"/>
  <c r="AP40" s="1"/>
  <c r="AP42"/>
  <c r="AR42" s="1"/>
  <c r="AO43"/>
  <c r="AP43" s="1"/>
  <c r="C19" i="111"/>
  <c r="D19" s="1"/>
  <c r="AN30" i="86"/>
  <c r="AN47" s="1"/>
  <c r="AM57"/>
  <c r="AN62"/>
  <c r="AT1" i="87"/>
  <c r="K49" i="86"/>
  <c r="A38" i="87"/>
  <c r="A39" s="1"/>
  <c r="A40" s="1"/>
  <c r="U4" i="126"/>
  <c r="Y4" s="1"/>
  <c r="AD4" s="1"/>
  <c r="AI4" s="1"/>
  <c r="AN4" s="1"/>
  <c r="AW4" s="1"/>
  <c r="BB4" s="1"/>
  <c r="BH4" s="1"/>
  <c r="BL4" s="1"/>
  <c r="BQ4" s="1"/>
  <c r="BU4" s="1"/>
  <c r="BY4" s="1"/>
  <c r="CC4" s="1"/>
  <c r="CH4" s="1"/>
  <c r="CM4" s="1"/>
  <c r="CR4" s="1"/>
  <c r="CW4" s="1"/>
  <c r="DB4" s="1"/>
  <c r="DG4" s="1"/>
  <c r="H28" i="11"/>
  <c r="H29"/>
  <c r="D28" i="124"/>
  <c r="E28" s="1"/>
  <c r="H28" s="1"/>
  <c r="D32"/>
  <c r="E32" s="1"/>
  <c r="H32" s="1"/>
  <c r="H42"/>
  <c r="G49"/>
  <c r="V15" i="126"/>
  <c r="V16" s="1"/>
  <c r="V17" s="1"/>
  <c r="L47" i="24"/>
  <c r="N47" s="1"/>
  <c r="N48"/>
  <c r="L50"/>
  <c r="N50" s="1"/>
  <c r="N51"/>
  <c r="L59"/>
  <c r="N59" s="1"/>
  <c r="L60"/>
  <c r="N60" s="1"/>
  <c r="B57"/>
  <c r="S14" i="86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C49"/>
  <c r="DB1" i="126"/>
  <c r="A21" i="127"/>
  <c r="H31" i="124"/>
  <c r="A15"/>
  <c r="A16" s="1"/>
  <c r="AU37" i="87"/>
  <c r="AU38" s="1"/>
  <c r="BB22"/>
  <c r="AY34"/>
  <c r="CR1" i="126"/>
  <c r="AK49" i="86"/>
  <c r="A23" i="127"/>
  <c r="A20"/>
  <c r="H27" i="124"/>
  <c r="G25"/>
  <c r="J47" i="24"/>
  <c r="AD28" i="126"/>
  <c r="AD29" s="1"/>
  <c r="A25" i="127"/>
  <c r="A24"/>
  <c r="A22"/>
  <c r="G37" i="124"/>
  <c r="A37" i="114"/>
  <c r="A38" s="1"/>
  <c r="A39" s="1"/>
  <c r="A40" s="1"/>
  <c r="A41" s="1"/>
  <c r="A42" s="1"/>
  <c r="A43" s="1"/>
  <c r="A44" s="1"/>
  <c r="A45" s="1"/>
  <c r="A46" s="1"/>
  <c r="A47" s="1"/>
  <c r="A48" s="1"/>
  <c r="A49" s="1"/>
  <c r="K10" i="130"/>
  <c r="K15"/>
  <c r="K20"/>
  <c r="K11"/>
  <c r="J11"/>
  <c r="K35"/>
  <c r="D17" i="122"/>
  <c r="E17" s="1"/>
  <c r="C23" i="121"/>
  <c r="C21"/>
  <c r="K33" i="130"/>
  <c r="K22"/>
  <c r="C20" i="122"/>
  <c r="C36" s="1"/>
  <c r="D18"/>
  <c r="D17" i="87"/>
  <c r="A17" i="127"/>
  <c r="AZ20" i="87"/>
  <c r="AZ21" s="1"/>
  <c r="AZ22" s="1"/>
  <c r="AZ23" s="1"/>
  <c r="AZ24" s="1"/>
  <c r="AZ25" s="1"/>
  <c r="AZ26" s="1"/>
  <c r="AZ27" s="1"/>
  <c r="AZ28" s="1"/>
  <c r="AZ29" s="1"/>
  <c r="AZ30" s="1"/>
  <c r="AZ31" s="1"/>
  <c r="AZ32" s="1"/>
  <c r="AZ33" s="1"/>
  <c r="AZ34" s="1"/>
  <c r="AZ35" s="1"/>
  <c r="AZ36" s="1"/>
  <c r="AZ37" s="1"/>
  <c r="AZ38" s="1"/>
  <c r="AZ39" s="1"/>
  <c r="AZ40" s="1"/>
  <c r="AZ41" s="1"/>
  <c r="AZ42" s="1"/>
  <c r="AZ43" s="1"/>
  <c r="AZ44" s="1"/>
  <c r="G43" i="124" l="1"/>
  <c r="J20" i="130"/>
  <c r="H31" i="11"/>
  <c r="H34" s="1"/>
  <c r="CW1" i="126"/>
  <c r="G53"/>
  <c r="AM59" i="86"/>
  <c r="AN1" i="126"/>
  <c r="D34" i="124"/>
  <c r="E34" s="1"/>
  <c r="H34" s="1"/>
  <c r="R17" i="126"/>
  <c r="V18"/>
  <c r="V19" s="1"/>
  <c r="V20" s="1"/>
  <c r="V21" s="1"/>
  <c r="V22" s="1"/>
  <c r="V23" s="1"/>
  <c r="BV31"/>
  <c r="BY1"/>
  <c r="D20" i="122"/>
  <c r="D36" s="1"/>
  <c r="BB31" i="87"/>
  <c r="F34" i="11"/>
  <c r="U30" i="126"/>
  <c r="U21"/>
  <c r="D20" i="86"/>
  <c r="E37" i="87"/>
  <c r="D44" i="86" s="1"/>
  <c r="E17" i="87"/>
  <c r="E19"/>
  <c r="AR39" i="86"/>
  <c r="D38" i="124"/>
  <c r="E38" s="1"/>
  <c r="H38" s="1"/>
  <c r="H34" i="114"/>
  <c r="I34" s="1"/>
  <c r="E34"/>
  <c r="D19"/>
  <c r="BD20" i="87"/>
  <c r="BC22"/>
  <c r="D21" i="121"/>
  <c r="F21" s="1"/>
  <c r="BC31" i="87"/>
  <c r="D33" i="114" s="1"/>
  <c r="BB34" i="87"/>
  <c r="C32" i="121"/>
  <c r="D37" i="114"/>
  <c r="AD31" i="126"/>
  <c r="U45" i="86"/>
  <c r="U47" s="1"/>
  <c r="U49" s="1"/>
  <c r="E38" i="122"/>
  <c r="E18"/>
  <c r="E20"/>
  <c r="E36" s="1"/>
  <c r="E39" s="1"/>
  <c r="E40" s="1"/>
  <c r="E41" s="1"/>
  <c r="N54" i="24"/>
  <c r="N57" s="1"/>
  <c r="N65" s="1"/>
  <c r="N68" s="1"/>
  <c r="N74" s="1"/>
  <c r="D23" i="124"/>
  <c r="E23" s="1"/>
  <c r="H23" s="1"/>
  <c r="AR40" i="86"/>
  <c r="D39" i="124"/>
  <c r="E39" s="1"/>
  <c r="H39" s="1"/>
  <c r="AR34" i="86"/>
  <c r="D29" i="124"/>
  <c r="E29" s="1"/>
  <c r="H29" s="1"/>
  <c r="D21" i="111"/>
  <c r="E19"/>
  <c r="E21" s="1"/>
  <c r="AL20" i="86"/>
  <c r="D21"/>
  <c r="M51"/>
  <c r="L54" i="24"/>
  <c r="L57" s="1"/>
  <c r="L65" s="1"/>
  <c r="L68" s="1"/>
  <c r="L74" s="1"/>
  <c r="C21" i="111"/>
  <c r="N41" i="24"/>
  <c r="AE32" i="87"/>
  <c r="AK33"/>
  <c r="AU39"/>
  <c r="AP27" i="86"/>
  <c r="AR27" s="1"/>
  <c r="AR30" s="1"/>
  <c r="AO30"/>
  <c r="AL51"/>
  <c r="AR43"/>
  <c r="D35" i="124"/>
  <c r="E35" s="1"/>
  <c r="H35" s="1"/>
  <c r="AI1" i="126"/>
  <c r="AR19"/>
  <c r="AN49" i="86"/>
  <c r="AN53" s="1"/>
  <c r="C53"/>
  <c r="J75" i="24"/>
  <c r="F20" i="127"/>
  <c r="F23" s="1"/>
  <c r="H20"/>
  <c r="H23" s="1"/>
  <c r="H17"/>
  <c r="X17" i="126"/>
  <c r="D22" i="124" l="1"/>
  <c r="AP30" i="86"/>
  <c r="M17" i="126"/>
  <c r="R18"/>
  <c r="R19" s="1"/>
  <c r="R20" s="1"/>
  <c r="R21" s="1"/>
  <c r="R22" s="1"/>
  <c r="R23" s="1"/>
  <c r="R24" s="1"/>
  <c r="R25" s="1"/>
  <c r="R26" s="1"/>
  <c r="R27" s="1"/>
  <c r="J31" i="130"/>
  <c r="H33" i="114"/>
  <c r="I33" s="1"/>
  <c r="E33"/>
  <c r="BC67" i="87"/>
  <c r="D69" i="121" s="1"/>
  <c r="C35"/>
  <c r="N38" i="86"/>
  <c r="D23" i="121"/>
  <c r="F23" s="1"/>
  <c r="H19" i="114"/>
  <c r="I19" s="1"/>
  <c r="J26" s="1"/>
  <c r="E19"/>
  <c r="S45" i="86"/>
  <c r="S47" s="1"/>
  <c r="S49" s="1"/>
  <c r="U32" i="126"/>
  <c r="BC34" i="87"/>
  <c r="D32" i="121"/>
  <c r="F32" s="1"/>
  <c r="BD31" i="87"/>
  <c r="BD22"/>
  <c r="E21" i="121"/>
  <c r="E35" i="87"/>
  <c r="E38" s="1"/>
  <c r="E39" s="1"/>
  <c r="D45" i="86" s="1"/>
  <c r="D47" s="1"/>
  <c r="D49" s="1"/>
  <c r="AD1" i="126"/>
  <c r="M58" i="86"/>
  <c r="AO20"/>
  <c r="AM20"/>
  <c r="J16" i="130"/>
  <c r="AU40" i="87"/>
  <c r="AE33"/>
  <c r="AK34"/>
  <c r="AO19" i="126"/>
  <c r="AO20" s="1"/>
  <c r="AO21" s="1"/>
  <c r="AO22" s="1"/>
  <c r="AV19"/>
  <c r="AV22" s="1"/>
  <c r="AW25" s="1"/>
  <c r="J43" i="130"/>
  <c r="J17"/>
  <c r="E22" i="124"/>
  <c r="H22" s="1"/>
  <c r="H25" s="1"/>
  <c r="D25"/>
  <c r="E25" s="1"/>
  <c r="AM51" i="86"/>
  <c r="AO51"/>
  <c r="D10" i="114"/>
  <c r="D7" i="120"/>
  <c r="D8" s="1"/>
  <c r="D9" s="1"/>
  <c r="D11" s="1"/>
  <c r="J24" i="40"/>
  <c r="C14" i="127"/>
  <c r="F51" i="130"/>
  <c r="D48" i="124"/>
  <c r="E40" i="87" l="1"/>
  <c r="E1" s="1"/>
  <c r="J40" i="130"/>
  <c r="J29"/>
  <c r="J42"/>
  <c r="J41"/>
  <c r="Q27" i="126"/>
  <c r="R28"/>
  <c r="R29" s="1"/>
  <c r="R30" s="1"/>
  <c r="R31" s="1"/>
  <c r="R32" s="1"/>
  <c r="AE22"/>
  <c r="AE23" s="1"/>
  <c r="AE24" s="1"/>
  <c r="AE25" s="1"/>
  <c r="AO23"/>
  <c r="AO24" s="1"/>
  <c r="AO25" s="1"/>
  <c r="AO26" s="1"/>
  <c r="AO27" s="1"/>
  <c r="AO28" s="1"/>
  <c r="H17"/>
  <c r="M18"/>
  <c r="M19" s="1"/>
  <c r="M20" s="1"/>
  <c r="M21" s="1"/>
  <c r="M22" s="1"/>
  <c r="J36" i="130"/>
  <c r="BD34" i="87"/>
  <c r="E35" i="121" s="1"/>
  <c r="E32"/>
  <c r="N44" i="86"/>
  <c r="D35" i="121"/>
  <c r="F35" s="1"/>
  <c r="BD67" i="87"/>
  <c r="E23" i="121"/>
  <c r="BD68" i="87"/>
  <c r="U1" i="126"/>
  <c r="J18" i="130"/>
  <c r="AP20" i="86"/>
  <c r="M62"/>
  <c r="AL58"/>
  <c r="AE34" i="87"/>
  <c r="F34" s="1"/>
  <c r="F35" s="1"/>
  <c r="AK35"/>
  <c r="AU41"/>
  <c r="K43" i="130"/>
  <c r="E44"/>
  <c r="J28"/>
  <c r="J8"/>
  <c r="AP51" i="86"/>
  <c r="X35"/>
  <c r="AW27" i="126"/>
  <c r="X45" i="86" s="1"/>
  <c r="D15" i="114"/>
  <c r="D14"/>
  <c r="D13"/>
  <c r="F11" i="130"/>
  <c r="F32"/>
  <c r="F31"/>
  <c r="F17"/>
  <c r="F8"/>
  <c r="F10"/>
  <c r="F9"/>
  <c r="F43"/>
  <c r="F12"/>
  <c r="F14"/>
  <c r="F16"/>
  <c r="F20"/>
  <c r="F29"/>
  <c r="F33"/>
  <c r="F35"/>
  <c r="F37"/>
  <c r="F39"/>
  <c r="F41"/>
  <c r="F13"/>
  <c r="F18"/>
  <c r="F28"/>
  <c r="F34"/>
  <c r="F36"/>
  <c r="F38"/>
  <c r="F40"/>
  <c r="F42"/>
  <c r="F27" l="1"/>
  <c r="F17" i="126"/>
  <c r="H18"/>
  <c r="H19" s="1"/>
  <c r="Q29"/>
  <c r="Q42" s="1"/>
  <c r="R38" i="86"/>
  <c r="K22" i="126"/>
  <c r="L29" s="1"/>
  <c r="M23"/>
  <c r="M24" s="1"/>
  <c r="M25" s="1"/>
  <c r="M26" s="1"/>
  <c r="M27" s="1"/>
  <c r="M28" s="1"/>
  <c r="M29" s="1"/>
  <c r="M30" s="1"/>
  <c r="M31" s="1"/>
  <c r="N45" i="86"/>
  <c r="N47" s="1"/>
  <c r="N49" s="1"/>
  <c r="E70" i="121"/>
  <c r="E69"/>
  <c r="BD69" i="87"/>
  <c r="J27" i="130"/>
  <c r="AX1" i="87"/>
  <c r="AR20" i="86"/>
  <c r="D15" i="124"/>
  <c r="K18" i="130"/>
  <c r="AO58" i="86"/>
  <c r="AM58"/>
  <c r="AM62" s="1"/>
  <c r="AL62"/>
  <c r="AU42" i="87"/>
  <c r="AE35"/>
  <c r="AK36"/>
  <c r="X47" i="86"/>
  <c r="X49" s="1"/>
  <c r="AR51"/>
  <c r="X13" i="126" s="1"/>
  <c r="X15" s="1"/>
  <c r="Y18" s="1"/>
  <c r="Y20" s="1"/>
  <c r="Y22" s="1"/>
  <c r="C13" i="127"/>
  <c r="C16" s="1"/>
  <c r="D47" i="124"/>
  <c r="K44" i="130"/>
  <c r="E45"/>
  <c r="AW28" i="126"/>
  <c r="J9" i="130"/>
  <c r="L36"/>
  <c r="L39"/>
  <c r="L43"/>
  <c r="L31"/>
  <c r="H14" i="114"/>
  <c r="E14"/>
  <c r="L40" i="130"/>
  <c r="L18"/>
  <c r="L13"/>
  <c r="L35"/>
  <c r="L29"/>
  <c r="L14"/>
  <c r="L10"/>
  <c r="L42"/>
  <c r="L38"/>
  <c r="L34"/>
  <c r="L28"/>
  <c r="L41"/>
  <c r="L37"/>
  <c r="L33"/>
  <c r="L27"/>
  <c r="L20"/>
  <c r="L16"/>
  <c r="L12"/>
  <c r="L9"/>
  <c r="L8"/>
  <c r="L17"/>
  <c r="L32"/>
  <c r="L11"/>
  <c r="E13" i="114"/>
  <c r="D36"/>
  <c r="E15"/>
  <c r="H15"/>
  <c r="I15" s="1"/>
  <c r="AW1" i="126" l="1"/>
  <c r="M32"/>
  <c r="Q43"/>
  <c r="Q44" s="1"/>
  <c r="L44"/>
  <c r="Q17" i="86"/>
  <c r="F19" i="126"/>
  <c r="H20"/>
  <c r="F25" i="130"/>
  <c r="J25"/>
  <c r="E71" i="121"/>
  <c r="BD1" i="87"/>
  <c r="E15" i="124"/>
  <c r="H15" s="1"/>
  <c r="AP58" i="86"/>
  <c r="AP62" s="1"/>
  <c r="AO62"/>
  <c r="AE36" i="87"/>
  <c r="AK37"/>
  <c r="AK38" s="1"/>
  <c r="AU43"/>
  <c r="Y23" i="126"/>
  <c r="T45" i="86"/>
  <c r="K45" i="130"/>
  <c r="E47" i="124"/>
  <c r="D49"/>
  <c r="E49" s="1"/>
  <c r="H49" s="1"/>
  <c r="D47" i="114"/>
  <c r="E47" s="1"/>
  <c r="D38"/>
  <c r="D49"/>
  <c r="E49" s="1"/>
  <c r="E36"/>
  <c r="I14"/>
  <c r="H36"/>
  <c r="K50" i="126" l="1"/>
  <c r="Q38" i="86" s="1"/>
  <c r="P38" s="1"/>
  <c r="AL38" s="1"/>
  <c r="K49" i="126"/>
  <c r="K53"/>
  <c r="L54" s="1"/>
  <c r="Q44" i="86" s="1"/>
  <c r="AL44" s="1"/>
  <c r="F20" i="126"/>
  <c r="H21"/>
  <c r="H22" s="1"/>
  <c r="Q21" i="86"/>
  <c r="AL21" s="1"/>
  <c r="AM21" s="1"/>
  <c r="AL17"/>
  <c r="R45"/>
  <c r="R47" s="1"/>
  <c r="R49" s="1"/>
  <c r="L25" i="130"/>
  <c r="F36" i="87"/>
  <c r="F37" s="1"/>
  <c r="F38" s="1"/>
  <c r="AE37"/>
  <c r="AU44"/>
  <c r="AE38"/>
  <c r="AE39" s="1"/>
  <c r="AK39"/>
  <c r="AK40" s="1"/>
  <c r="T47" i="86"/>
  <c r="J15" i="114"/>
  <c r="J36" s="1"/>
  <c r="I36"/>
  <c r="D48"/>
  <c r="E48" s="1"/>
  <c r="E46"/>
  <c r="D46"/>
  <c r="AO17" i="86" l="1"/>
  <c r="AM17"/>
  <c r="F22" i="126"/>
  <c r="H23"/>
  <c r="L51"/>
  <c r="L56" s="1"/>
  <c r="Q35" i="86"/>
  <c r="P35" s="1"/>
  <c r="AM44"/>
  <c r="AO44"/>
  <c r="AP44" s="1"/>
  <c r="D40" i="124" s="1"/>
  <c r="E40" s="1"/>
  <c r="H40" s="1"/>
  <c r="AO38" i="86"/>
  <c r="AP38" s="1"/>
  <c r="D36" i="124" s="1"/>
  <c r="E36" s="1"/>
  <c r="H36" s="1"/>
  <c r="AM38" i="86"/>
  <c r="Q1" i="126"/>
  <c r="F19" i="130"/>
  <c r="J19"/>
  <c r="AE40" i="87"/>
  <c r="AE41" s="1"/>
  <c r="AK41"/>
  <c r="AK42" s="1"/>
  <c r="AU45"/>
  <c r="J30" i="130"/>
  <c r="F30"/>
  <c r="T49" i="86"/>
  <c r="L58" i="126" l="1"/>
  <c r="Q45" i="86" s="1"/>
  <c r="Q47" s="1"/>
  <c r="Q49" s="1"/>
  <c r="AP17"/>
  <c r="AO21"/>
  <c r="P47"/>
  <c r="P49" s="1"/>
  <c r="AL35"/>
  <c r="F23" i="126"/>
  <c r="H24"/>
  <c r="L19" i="130"/>
  <c r="AU46" i="87"/>
  <c r="AE42"/>
  <c r="AK43"/>
  <c r="AE43" s="1"/>
  <c r="AE44" s="1"/>
  <c r="AE45" s="1"/>
  <c r="Y1" i="126"/>
  <c r="L30" i="130"/>
  <c r="J24" l="1"/>
  <c r="F24"/>
  <c r="F24" i="126"/>
  <c r="H25"/>
  <c r="AM35" i="86"/>
  <c r="AO35"/>
  <c r="AP35" s="1"/>
  <c r="D30" i="124" s="1"/>
  <c r="E30" s="1"/>
  <c r="H30" s="1"/>
  <c r="D12"/>
  <c r="AP21" i="86"/>
  <c r="G1" i="126"/>
  <c r="A1" s="1"/>
  <c r="L59"/>
  <c r="L1" s="1"/>
  <c r="AE46" i="87"/>
  <c r="AU47"/>
  <c r="AU48" s="1"/>
  <c r="F25" i="126" l="1"/>
  <c r="H26"/>
  <c r="L24" i="130"/>
  <c r="E12" i="124"/>
  <c r="H12" s="1"/>
  <c r="H16" s="1"/>
  <c r="D16"/>
  <c r="E16" s="1"/>
  <c r="AZ45" i="87"/>
  <c r="AE47"/>
  <c r="AZ46" s="1"/>
  <c r="AZ47" s="1"/>
  <c r="AZ48" s="1"/>
  <c r="AZ49" s="1"/>
  <c r="J26" i="130"/>
  <c r="F26"/>
  <c r="F26" i="126" l="1"/>
  <c r="H27"/>
  <c r="J23" i="130"/>
  <c r="F23"/>
  <c r="J22"/>
  <c r="F22"/>
  <c r="AE48" i="87"/>
  <c r="AU49"/>
  <c r="AZ50"/>
  <c r="AZ51" s="1"/>
  <c r="AZ52" s="1"/>
  <c r="AZ53" s="1"/>
  <c r="AZ54" s="1"/>
  <c r="AZ55" s="1"/>
  <c r="AZ56" s="1"/>
  <c r="L26" i="130"/>
  <c r="L22" l="1"/>
  <c r="F27" i="126"/>
  <c r="E27" s="1"/>
  <c r="H28"/>
  <c r="H29" s="1"/>
  <c r="L23" i="130"/>
  <c r="AZ57" i="87"/>
  <c r="AE49"/>
  <c r="AE50" s="1"/>
  <c r="AU50"/>
  <c r="AU51" s="1"/>
  <c r="A29" i="126" l="1"/>
  <c r="H30"/>
  <c r="H31" s="1"/>
  <c r="H32" s="1"/>
  <c r="AI51" i="87"/>
  <c r="AE51" s="1"/>
  <c r="AU52"/>
  <c r="AZ58"/>
  <c r="CS28" i="126" l="1"/>
  <c r="CS29" s="1"/>
  <c r="CS30" s="1"/>
  <c r="CS31" s="1"/>
  <c r="CC31" s="1"/>
  <c r="A30"/>
  <c r="A31" s="1"/>
  <c r="A32" s="1"/>
  <c r="AZ59" i="87"/>
  <c r="AE52"/>
  <c r="AU53"/>
  <c r="BZ31" i="126" l="1"/>
  <c r="CC1"/>
  <c r="AE53" i="87"/>
  <c r="AU54"/>
  <c r="AY59"/>
  <c r="AY63" s="1"/>
  <c r="AY1" s="1"/>
  <c r="AZ60"/>
  <c r="AZ61" l="1"/>
  <c r="AZ62" s="1"/>
  <c r="AJ54"/>
  <c r="AU55"/>
  <c r="AE54" l="1"/>
  <c r="AJ56"/>
  <c r="AJ58" s="1"/>
  <c r="J41" i="86"/>
  <c r="AE55" i="87"/>
  <c r="AE56" s="1"/>
  <c r="AU56"/>
  <c r="AU57" s="1"/>
  <c r="AZ63"/>
  <c r="AZ64" s="1"/>
  <c r="AZ65" s="1"/>
  <c r="AZ66" s="1"/>
  <c r="AZ67" s="1"/>
  <c r="AZ68" s="1"/>
  <c r="AZ69" s="1"/>
  <c r="AL41" i="86" l="1"/>
  <c r="AJ60" i="87"/>
  <c r="J45" i="86"/>
  <c r="AL45" s="1"/>
  <c r="AE57" i="87"/>
  <c r="AE58" s="1"/>
  <c r="AU58"/>
  <c r="AU59" s="1"/>
  <c r="J47" i="86" l="1"/>
  <c r="J49" s="1"/>
  <c r="AJ1" i="87" s="1"/>
  <c r="A1" s="1"/>
  <c r="AO45" i="86"/>
  <c r="AP45" s="1"/>
  <c r="D41" i="124" s="1"/>
  <c r="E41" s="1"/>
  <c r="H41" s="1"/>
  <c r="AM45" i="86"/>
  <c r="AO41"/>
  <c r="AM41"/>
  <c r="AL47"/>
  <c r="AL49" s="1"/>
  <c r="AE59" i="87"/>
  <c r="AE60" s="1"/>
  <c r="AU60"/>
  <c r="AU61" s="1"/>
  <c r="AU62" s="1"/>
  <c r="AU63" s="1"/>
  <c r="AP41" i="86" l="1"/>
  <c r="AO47"/>
  <c r="AO49" s="1"/>
  <c r="AM47"/>
  <c r="AM49" s="1"/>
  <c r="AR41" l="1"/>
  <c r="D33" i="124"/>
  <c r="AP47" i="86"/>
  <c r="AP49" s="1"/>
  <c r="AP53" s="1"/>
  <c r="AM53"/>
  <c r="C18" i="127"/>
  <c r="J15" i="130" l="1"/>
  <c r="F15"/>
  <c r="D44"/>
  <c r="C19" i="127"/>
  <c r="E33" i="124"/>
  <c r="H33" s="1"/>
  <c r="D37"/>
  <c r="C22" i="127" l="1"/>
  <c r="D45" i="130"/>
  <c r="E37" i="124"/>
  <c r="D43"/>
  <c r="D45" s="1"/>
  <c r="L15" i="130"/>
  <c r="F44"/>
  <c r="F45" s="1"/>
  <c r="J44"/>
  <c r="H37" i="124" l="1"/>
  <c r="H43" s="1"/>
  <c r="H45" s="1"/>
  <c r="H50" s="1"/>
  <c r="E43"/>
  <c r="J45" i="130"/>
  <c r="L44"/>
  <c r="E45" i="124"/>
  <c r="D50"/>
  <c r="C25" i="127"/>
  <c r="AQ38" i="86"/>
  <c r="AR38" s="1"/>
  <c r="AQ35"/>
  <c r="AQ44"/>
  <c r="AR44" s="1"/>
  <c r="AQ45"/>
  <c r="AR45" s="1"/>
  <c r="AQ17" l="1"/>
  <c r="AQ47"/>
  <c r="AR35"/>
  <c r="AR47" s="1"/>
  <c r="L45" i="130"/>
  <c r="AR17" i="86" l="1"/>
  <c r="AR21" s="1"/>
  <c r="AR49" s="1"/>
  <c r="AR53" s="1"/>
  <c r="AT17"/>
  <c r="AQ21"/>
  <c r="AQ14" l="1"/>
  <c r="AR14"/>
  <c r="AQ49"/>
  <c r="AZ70" i="87" l="1"/>
  <c r="AZ71"/>
  <c r="AZ72" s="1"/>
  <c r="AZ73" s="1"/>
  <c r="AZ74" s="1"/>
  <c r="AZ75" s="1"/>
  <c r="AZ76" s="1"/>
  <c r="AZ77" s="1"/>
  <c r="AZ78" s="1"/>
  <c r="AZ79" s="1"/>
  <c r="AZ80" s="1"/>
  <c r="AZ81" s="1"/>
  <c r="AZ82" s="1"/>
  <c r="AZ83" s="1"/>
  <c r="AZ84" s="1"/>
  <c r="AZ85" s="1"/>
  <c r="AZ86" s="1"/>
  <c r="AZ87" s="1"/>
  <c r="AZ88" s="1"/>
  <c r="AZ89" s="1"/>
  <c r="AZ90" s="1"/>
  <c r="AZ91" s="1"/>
  <c r="AZ92" s="1"/>
  <c r="AZ93" s="1"/>
  <c r="AZ94" s="1"/>
  <c r="AZ95" s="1"/>
  <c r="AZ96" s="1"/>
  <c r="AZ97" s="1"/>
  <c r="AZ98" s="1"/>
  <c r="AZ99" s="1"/>
  <c r="AZ100" s="1"/>
  <c r="AZ101" s="1"/>
  <c r="AZ102" s="1"/>
  <c r="AZ103" s="1"/>
  <c r="AZ104" s="1"/>
  <c r="AZ105" s="1"/>
  <c r="AZ106" s="1"/>
  <c r="AZ107" s="1"/>
  <c r="H33" i="126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M33"/>
  <c r="M34" s="1"/>
  <c r="M35" s="1"/>
  <c r="M36" s="1"/>
  <c r="M37" s="1"/>
  <c r="M38" s="1"/>
  <c r="M39" s="1"/>
  <c r="M40" s="1"/>
  <c r="M41" s="1"/>
  <c r="M42" s="1"/>
  <c r="M43" s="1"/>
  <c r="M44" s="1"/>
  <c r="A51"/>
  <c r="A52" s="1"/>
  <c r="A53" s="1"/>
  <c r="CS32"/>
  <c r="CS33"/>
  <c r="CS34" s="1"/>
  <c r="CS35" s="1"/>
  <c r="CS36" s="1"/>
  <c r="CS37" s="1"/>
  <c r="CS38" s="1"/>
  <c r="CS39" s="1"/>
  <c r="CS40" s="1"/>
  <c r="R33"/>
  <c r="R34" s="1"/>
  <c r="R35" s="1"/>
  <c r="R36" s="1"/>
  <c r="R37" s="1"/>
  <c r="A33"/>
  <c r="A34" s="1"/>
  <c r="A35" s="1"/>
  <c r="A36" s="1"/>
  <c r="A37" s="1"/>
  <c r="A38" s="1"/>
  <c r="A39" s="1"/>
  <c r="A40" s="1"/>
  <c r="A41" s="1"/>
  <c r="A42" s="1"/>
  <c r="A43" s="1"/>
  <c r="A44" s="1"/>
  <c r="A22" i="86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17" i="124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9"/>
  <c r="A40"/>
  <c r="A41"/>
  <c r="A42"/>
  <c r="A43"/>
  <c r="A44"/>
  <c r="A45"/>
  <c r="A46"/>
  <c r="A47"/>
  <c r="A48"/>
  <c r="A49"/>
  <c r="A38"/>
  <c r="A21" i="24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comments1.xml><?xml version="1.0" encoding="utf-8"?>
<comments xmlns="http://schemas.openxmlformats.org/spreadsheetml/2006/main">
  <authors>
    <author>Puget Sound Energy</author>
  </authors>
  <commentList>
    <comment ref="J21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<sst xmlns="http://schemas.openxmlformats.org/spreadsheetml/2006/main" count="2666" uniqueCount="1496">
  <si>
    <t>Non-oper property</t>
  </si>
  <si>
    <t>Totals</t>
  </si>
  <si>
    <t>OPERATING EXPENSE</t>
  </si>
  <si>
    <t>ACTUAL O&amp;M:</t>
  </si>
  <si>
    <t>NORMAL STORMS</t>
  </si>
  <si>
    <t xml:space="preserve">OPERATIONS </t>
  </si>
  <si>
    <t>TOTAL NORMAL STORMS</t>
  </si>
  <si>
    <t>SHORT TERM DEBT</t>
  </si>
  <si>
    <t>LONG TERM DEBT</t>
  </si>
  <si>
    <t>AFTER TAX SHORT TERM DEBT ( (LINE 1)* 65%)</t>
  </si>
  <si>
    <t>AFTER TAX LONG TERM DEBT ( (LINE 2)* 65%)</t>
  </si>
  <si>
    <t>04/10-03/11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</si>
  <si>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</si>
  <si>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</si>
  <si>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</si>
  <si>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</si>
  <si>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</si>
  <si>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EXPENSES</t>
  </si>
  <si>
    <t>INCREASE (DECREASE) TAXES OTHER</t>
  </si>
  <si>
    <t>SIX-YEAR AVERAGE STORM EXPENSE FOR RATE YEAR</t>
  </si>
  <si>
    <t xml:space="preserve">RATE YEAR MANAGEMENT WAGE INCREASE 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</si>
  <si>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</si>
  <si>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</si>
  <si>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</si>
  <si>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</si>
  <si>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</si>
  <si>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DEFERRED FIT - DEBIT</t>
  </si>
  <si>
    <t>INCREASE (DECREASE) INCOME</t>
  </si>
  <si>
    <t>DEFERRED FIT - CREDIT</t>
  </si>
  <si>
    <t>INCREASE(DECREASE) WUTC FILING FEE</t>
  </si>
  <si>
    <t>TRANSMISSION</t>
  </si>
  <si>
    <t>INCREASE (DECREASE) FIT</t>
  </si>
  <si>
    <t>SUM OF TAXES OTHER</t>
  </si>
  <si>
    <t>SALES FOR RESALE</t>
  </si>
  <si>
    <t>DEFERRED FIT - INV TAX CREDIT, NET OF AMORT.</t>
  </si>
  <si>
    <t xml:space="preserve">INCREASE (DECREASE) FIT @ </t>
  </si>
  <si>
    <t>DISTRIBUTION</t>
  </si>
  <si>
    <t>Federal Income Tax</t>
  </si>
  <si>
    <t>ACCUMULATED AMORTIZATION ON ACQUISTION ADJ</t>
  </si>
  <si>
    <t>INCREASE (DECREASE) EXPENSE</t>
  </si>
  <si>
    <t>INCREASE(DECREASE) FIT</t>
  </si>
  <si>
    <t>TOTAL RESTATED FIT</t>
  </si>
  <si>
    <t>CUSTOMER ACCTS</t>
  </si>
  <si>
    <t>SALARIED EMPLOYEES</t>
  </si>
  <si>
    <t>CUSTOMER SERVICE</t>
  </si>
  <si>
    <t>UNION EMPLOYEES</t>
  </si>
  <si>
    <t>COST %</t>
  </si>
  <si>
    <t>CAPITAL</t>
  </si>
  <si>
    <t>INCREASE (DECREASE) FIT @ 35%</t>
  </si>
  <si>
    <t>PREFERRED</t>
  </si>
  <si>
    <t>EQUITY</t>
  </si>
  <si>
    <t>NET PRODUCTION PROPERTY</t>
  </si>
  <si>
    <t>INCREASE (DECREASE) SALES TO CUSTOMERS</t>
  </si>
  <si>
    <t>UNCOLLECTIBLES @</t>
  </si>
  <si>
    <t>ANNUAL FILING FEE @</t>
  </si>
  <si>
    <t>STATE UTILITY TAX @</t>
  </si>
  <si>
    <t>ADDITIONAL DEFERRED CREDITS</t>
  </si>
  <si>
    <t>GENERAL RATE INCREASE</t>
  </si>
  <si>
    <t>RATEBASE</t>
  </si>
  <si>
    <t>QUALIFIED RETIREMENT FUND</t>
  </si>
  <si>
    <t>Add Variable Transmission Income</t>
  </si>
  <si>
    <t>Add Hedging</t>
  </si>
  <si>
    <t>Move Power Cost Related Amortization of Regulatory Assets to separate adjustment</t>
  </si>
  <si>
    <t>PROPERTY TAXES - WASHINGTON</t>
  </si>
  <si>
    <t>PROPERTY TAXES - MONTANA</t>
  </si>
  <si>
    <t>ELECTRIC ENERGY TAX</t>
  </si>
  <si>
    <t>PURCHASED POWER (FERC 557)</t>
  </si>
  <si>
    <t>PROD O&amp;M FERCS</t>
  </si>
  <si>
    <t>Remove Benefits and Taxes as already included in FERC 926</t>
  </si>
  <si>
    <t>Move New Resource Power Costs to Stand Alone Adjustments</t>
  </si>
  <si>
    <t>Reconciliation of Total Power Costs</t>
  </si>
  <si>
    <t>Reconcile DEM to JHS Adjustment No. 03</t>
  </si>
  <si>
    <t>Verify total power costs in JHS adjustments are included in Power Cost Baseline Rate - Exhibit A-1</t>
  </si>
  <si>
    <t>Recap of power costs in Exhibit A-1 and comparison to JHS Summary Page</t>
  </si>
  <si>
    <t>Remove items in above not separately shown on JHS Summary</t>
  </si>
  <si>
    <t>Remove amounts included in Tenaska Rider</t>
  </si>
  <si>
    <t>Total Power Costs in Exhibit A-1</t>
  </si>
  <si>
    <t>Lines 4, 15 and 17 of JHS Summary Page</t>
  </si>
  <si>
    <t>Revenue Requirement for Colstrip</t>
  </si>
  <si>
    <t>Accumulated Depreciation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</si>
  <si>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</si>
  <si>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</si>
  <si>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</si>
  <si>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</si>
  <si>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</si>
  <si>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Expenses</t>
  </si>
  <si>
    <t>Total Revenue Requirement</t>
  </si>
  <si>
    <t>(before revenue sensitive items)</t>
  </si>
  <si>
    <t>Support for Revenue Requirement - Ratebase</t>
  </si>
  <si>
    <t>13 MONTH AMA</t>
  </si>
  <si>
    <t>ANNUITY RATE</t>
  </si>
  <si>
    <t>ANNUALIZED DEPRECIATION</t>
  </si>
  <si>
    <t>AMA ACUMM. DEPR.</t>
  </si>
  <si>
    <t>COLSTRIP #1</t>
  </si>
  <si>
    <t>Turbo Generating Units</t>
  </si>
  <si>
    <t>Accessory Electric Equipment</t>
  </si>
  <si>
    <t xml:space="preserve">FORECAST TWELVE MONTHS ENDED DECEMBER 31, 2010 VS DECEMBER 31, 2008 GENERAL RATE CASE </t>
  </si>
  <si>
    <t>Misc. Power Plant Equipment</t>
  </si>
  <si>
    <t xml:space="preserve">     TOTAL</t>
  </si>
  <si>
    <t>COLSTRIP #2</t>
  </si>
  <si>
    <t>COLSTRIP 1 &amp; 2 COMMON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</si>
  <si>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</si>
  <si>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</si>
  <si>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</si>
  <si>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</si>
  <si>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</si>
  <si>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</si>
  <si>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</si>
  <si>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</si>
  <si>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</si>
  <si>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</si>
  <si>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ROW</t>
  </si>
  <si>
    <t>Support for Revenue Requirement - Expenses</t>
  </si>
  <si>
    <t>Amount before</t>
  </si>
  <si>
    <t>Order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</si>
  <si>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</si>
  <si>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</si>
  <si>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</si>
  <si>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</si>
  <si>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</si>
  <si>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</si>
  <si>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</si>
  <si>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</si>
  <si>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</si>
  <si>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</si>
  <si>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</si>
  <si>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</si>
  <si>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</si>
  <si>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</si>
  <si>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</si>
  <si>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</si>
  <si>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</si>
  <si>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</si>
  <si>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</si>
  <si>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</si>
  <si>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</si>
  <si>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</si>
  <si>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</si>
  <si>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</si>
  <si>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</si>
  <si>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</si>
  <si>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</si>
  <si>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PRODUCTION ADJUSTMENT</t>
  </si>
  <si>
    <t>Exhibit A-5 Power Costs</t>
  </si>
  <si>
    <t>POWER COSTS</t>
  </si>
  <si>
    <t>OPERATING INCOME REQUIREMENT</t>
  </si>
  <si>
    <t>PRO FORMA OPERATING INCOME</t>
  </si>
  <si>
    <t>Colstrip Common FERC Adj. - Reg Asset (1)</t>
  </si>
  <si>
    <t>Colstrip Def Depr FERC Adj. - Reg Asset</t>
  </si>
  <si>
    <t>Encogen Acquisition Adjustment</t>
  </si>
  <si>
    <t>Total Production Property Depreciation &amp; Amortization</t>
  </si>
  <si>
    <t>Production Factor</t>
  </si>
  <si>
    <t>Easements</t>
  </si>
  <si>
    <t>Actual</t>
  </si>
  <si>
    <t>DEFERRED BALANCES FOR 10 YEAR AMORTIZATION AT</t>
  </si>
  <si>
    <t>HOPKINS RIDGE MITIGATION CREDIT</t>
  </si>
  <si>
    <t>Production Property Depreciation (FERC 403):</t>
  </si>
  <si>
    <t>Production Property Amortization (FERC 403):</t>
  </si>
  <si>
    <t>TOTAL DEPRECIATION AND AMORTIZATION (FERC 403)</t>
  </si>
  <si>
    <t>Tax Benefit of Production Adjusted Depreciation (FERC 403)</t>
  </si>
  <si>
    <t>Tax Benefit of Production Adjusted Amortization (FERC 403)</t>
  </si>
  <si>
    <t>WHITE RIVER PLANT COSTS</t>
  </si>
  <si>
    <t>(2) Production wages and incentive plan costs are included in Power Costs in the Income Statement.</t>
  </si>
  <si>
    <t>PRO FORMA COST OF CAPITAL</t>
  </si>
  <si>
    <t>TENASKA</t>
  </si>
  <si>
    <t>production-factored in this adjustment.</t>
  </si>
  <si>
    <t>FORECASTED RATE YEAR KWH</t>
  </si>
  <si>
    <t xml:space="preserve">OPERATING EXPENSES </t>
  </si>
  <si>
    <t>PAY</t>
  </si>
  <si>
    <t>INCENTIVE</t>
  </si>
  <si>
    <t>Restated</t>
  </si>
  <si>
    <t>E311</t>
  </si>
  <si>
    <t>Structures &amp; Improvements</t>
  </si>
  <si>
    <t>E312</t>
  </si>
  <si>
    <t>NON-UNION (EXCLUDING. EXECUTIVES)</t>
  </si>
  <si>
    <t>NON-UNION (EXECUTIVES)</t>
  </si>
  <si>
    <t>TOTAL PROFORMA COSTS (LN 4 + LN 9 + LN 14 + LN 19)</t>
  </si>
  <si>
    <t>Exhibit A-1 Power Cost Rate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</si>
  <si>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</si>
  <si>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</si>
  <si>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</si>
  <si>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</si>
  <si>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</si>
  <si>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Net of tax rate of return</t>
  </si>
  <si>
    <t>Test Yr</t>
  </si>
  <si>
    <t>$/MWh</t>
  </si>
  <si>
    <t>Regulatory Asset Recovery (on Row 3)</t>
  </si>
  <si>
    <t>(c)</t>
  </si>
  <si>
    <t>Fixed Asset Recovery Other (on Row 4)</t>
  </si>
  <si>
    <t>Fixed Asset Recovery-Prod Factored (on Row 5)</t>
  </si>
  <si>
    <t>501-Steam Fuel</t>
  </si>
  <si>
    <t>555-Purchased power</t>
  </si>
  <si>
    <t>557-Other Power Exp</t>
  </si>
  <si>
    <t>15a</t>
  </si>
  <si>
    <t>Payroll Overheads - Worker's Comp</t>
  </si>
  <si>
    <t>15b</t>
  </si>
  <si>
    <t>Property Insurance</t>
  </si>
  <si>
    <t>15c</t>
  </si>
  <si>
    <t>15d</t>
  </si>
  <si>
    <t>Payroll Taxes on Production Wages</t>
  </si>
  <si>
    <t>547-Fuel</t>
  </si>
  <si>
    <t>565-Wheeling</t>
  </si>
  <si>
    <t>Hydro and Other Pwr.</t>
  </si>
  <si>
    <t>447-Sales to Others</t>
  </si>
  <si>
    <t>Transmission Exp - 500KV</t>
  </si>
  <si>
    <t>Depreciation &amp; Amort -Production (FERC 403)</t>
  </si>
  <si>
    <t>Power Cost</t>
  </si>
  <si>
    <t>Depreciation-Transmission</t>
  </si>
  <si>
    <t>Amortization-Production Reg Assets</t>
  </si>
  <si>
    <t>Jackson Prarie</t>
  </si>
  <si>
    <t>Move from O&amp;M</t>
  </si>
  <si>
    <t>to Fuel</t>
  </si>
  <si>
    <t>Reclass</t>
  </si>
  <si>
    <t>c.1</t>
  </si>
  <si>
    <t>SALES FROM RESALE-FIRM/SPECIAL CONTRACT</t>
  </si>
  <si>
    <t>Property Taxes-Production</t>
  </si>
  <si>
    <t>Property Taxes-Transmission</t>
  </si>
  <si>
    <t>Hedging Line of Credit</t>
  </si>
  <si>
    <t xml:space="preserve">  Subtotal &amp; Baseline Rate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</si>
  <si>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</si>
  <si>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</si>
  <si>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</si>
  <si>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</si>
  <si>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</si>
  <si>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</si>
  <si>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</si>
  <si>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</si>
  <si>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</si>
  <si>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</si>
  <si>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</si>
  <si>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Add</t>
  </si>
  <si>
    <t>STATEMENT OF OPERATING INCOME AND ADJUSTMENTS</t>
  </si>
  <si>
    <t>RESULTS OF OPERATIONS</t>
  </si>
  <si>
    <t>12/13/06 WIND STORM</t>
  </si>
  <si>
    <t>CUSTOMER ACCTS EXPENSES</t>
  </si>
  <si>
    <t>PROPERTY INSURANCE COSTS</t>
  </si>
  <si>
    <t>PRODUCTION PLANT PREMIUMS</t>
  </si>
  <si>
    <t>Renewal</t>
  </si>
  <si>
    <t>PSE Property generation plants</t>
  </si>
  <si>
    <t>Colstrip 1&amp;2</t>
  </si>
  <si>
    <t>Colstrip 3&amp;4</t>
  </si>
  <si>
    <t>BEGINNING PRODUCTION PLANT</t>
  </si>
  <si>
    <t>TOTAL UTILITY PLANT IN SERVICE - ADJUSTED</t>
  </si>
  <si>
    <t>TOTAL BEGINNING UTILITY PLANT IN SERVICE - DEPRECIABLE &amp; NON-DEPRECIABLE</t>
  </si>
  <si>
    <t>TOTAL AMORTIZATION ADJUSTMENT</t>
  </si>
  <si>
    <t>TOTAL DEPRECIATION STUDY ADJUSTMENT - PRODUCTION RELATED ONLY</t>
  </si>
  <si>
    <t>EXPENSES TO BE NORMALIZED:</t>
  </si>
  <si>
    <t>TOTAL INCREASE (DECREASE) EXPENSE</t>
  </si>
  <si>
    <t>GENERAL RATE CASE</t>
  </si>
  <si>
    <t>After Prod</t>
  </si>
  <si>
    <t>12ME</t>
  </si>
  <si>
    <t>Remove</t>
  </si>
  <si>
    <t>Net Before</t>
  </si>
  <si>
    <t>Factor of</t>
  </si>
  <si>
    <t>FERC</t>
  </si>
  <si>
    <t>Ben&amp;Tax</t>
  </si>
  <si>
    <t>Prod Factor</t>
  </si>
  <si>
    <t>Fuel:</t>
  </si>
  <si>
    <t>Steam Fuel</t>
  </si>
  <si>
    <t>Fuel</t>
  </si>
  <si>
    <t>Purchased and Interchanged:</t>
  </si>
  <si>
    <t>Purchased Power</t>
  </si>
  <si>
    <t>Other Power Expense</t>
  </si>
  <si>
    <t>Wheeling</t>
  </si>
  <si>
    <t>Hydro and Other Power</t>
  </si>
  <si>
    <t xml:space="preserve">Trans. Exp. Incl. 500Kv O&amp;M </t>
  </si>
  <si>
    <t>FERC PART 12 STUDY NON-CONSTRUCTION COSTS UE-070074 (407.3)</t>
  </si>
  <si>
    <t>4/1/11 - 4/1/12</t>
  </si>
  <si>
    <t>4/1/10 - 4/1/11</t>
  </si>
  <si>
    <t>ΣC</t>
  </si>
  <si>
    <t>Subtotal Amortization</t>
  </si>
  <si>
    <t xml:space="preserve">Mint Farm Amortization of Acquisition Adjustment </t>
  </si>
  <si>
    <t>Centrally Assessed Taxes</t>
  </si>
  <si>
    <t xml:space="preserve">Allocation of WA property taxes to production based on production%: </t>
  </si>
  <si>
    <t>Transmission-Northern Intertie based on Northern Intertie %:</t>
  </si>
  <si>
    <r>
      <t>Washington</t>
    </r>
    <r>
      <rPr>
        <sz val="10"/>
        <rFont val="Arial"/>
        <family val="2"/>
      </rPr>
      <t xml:space="preserve"> property taxes (2011 - Payable 2012)</t>
    </r>
  </si>
  <si>
    <r>
      <t>Oregon</t>
    </r>
    <r>
      <rPr>
        <sz val="10"/>
        <rFont val="Arial"/>
        <family val="2"/>
      </rPr>
      <t xml:space="preserve"> property taxes (2011 - Payable 2012; All taxes-Third Intertie)</t>
    </r>
  </si>
  <si>
    <t>Production based on 2010 production %:</t>
  </si>
  <si>
    <t>(PREV. SFAS 133)</t>
  </si>
  <si>
    <t>INCREASE (DECREASE) FIT ON ALL EXPENSES EXCEPT LINE 11 @</t>
  </si>
  <si>
    <t>MAJOR MAINTENANCE</t>
  </si>
  <si>
    <t>ACCOUNTING STANDARDS CODIFICATION 815 (FORMERLY SFAS 133)</t>
  </si>
  <si>
    <t>ASC 815</t>
  </si>
  <si>
    <t>WESTCOAST PIPELINE CAPACITY - UE-100503 (547)</t>
  </si>
  <si>
    <t>FERC PART 12 STUDY UE-070074 (407.3)</t>
  </si>
  <si>
    <t>CHELAN PREPAYMENT (555)</t>
  </si>
  <si>
    <t xml:space="preserve">LOWER SNAKE RIVER </t>
  </si>
  <si>
    <t>TOTAL OPERATING EXPENSES LOWER SNAKE RIVER</t>
  </si>
  <si>
    <t>MINT FARM DEFERRAL UE-090704</t>
  </si>
  <si>
    <t>RECLASS TRANSPORTATION IMBALANCE REVENUE TO OTHER OPERATING REVENUES</t>
  </si>
  <si>
    <t>RECLASS TRANSPORTATION IMBALANCE REVENUE FROM SALES TO CUSTOMERS</t>
  </si>
  <si>
    <t>NON-DEPRECIABLE PRODUCTION PROPERTY</t>
  </si>
  <si>
    <t>6 &amp; 7</t>
  </si>
  <si>
    <t>9, 10</t>
  </si>
  <si>
    <t>11 - 13</t>
  </si>
  <si>
    <t xml:space="preserve">LSR O &amp; M </t>
  </si>
  <si>
    <t>Current</t>
  </si>
  <si>
    <t>Sales for Resale</t>
  </si>
  <si>
    <t>Purchases/Sales Of Non-Core Gas</t>
  </si>
  <si>
    <t>Net Power Costs</t>
  </si>
  <si>
    <t>Tenaska Buyout Disallowance</t>
  </si>
  <si>
    <t xml:space="preserve">               Total Montana taxes</t>
  </si>
  <si>
    <r>
      <t>Less: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>Non-oper property</t>
    </r>
  </si>
  <si>
    <t xml:space="preserve">               Beneficial use (For BPA use)</t>
  </si>
  <si>
    <t>Property taxes on PSE property (=Total Montana taxes - Non-Oper Property - Beneficial use)</t>
  </si>
  <si>
    <t>Accum Depr (AMA) - Rate Year</t>
  </si>
  <si>
    <t>Production O&amp;M by Resources</t>
  </si>
  <si>
    <t>O&amp;M</t>
  </si>
  <si>
    <t>check</t>
  </si>
  <si>
    <t>Resources</t>
  </si>
  <si>
    <t>Whitehorn 1/2/3</t>
  </si>
  <si>
    <t>Frederickson</t>
  </si>
  <si>
    <t>Fredonia 1-4</t>
  </si>
  <si>
    <t>Hopkins Ridge &amp; Lease</t>
  </si>
  <si>
    <t>Wild Horse &amp; Land Lease</t>
  </si>
  <si>
    <t>Rate Year Production O&amp;M</t>
  </si>
  <si>
    <t>Rate Year Prod'n O&amp;M</t>
  </si>
  <si>
    <t>incl. benefits &amp; payroll taxes</t>
  </si>
  <si>
    <t>Coal Fuel</t>
  </si>
  <si>
    <t>Natural Gas Fuel</t>
  </si>
  <si>
    <t>CONVERSION FACTOR</t>
  </si>
  <si>
    <t>PERCENT</t>
  </si>
  <si>
    <t>TOTAL INCREASE (DECREASE) SALES TO CUSTOMERS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</si>
  <si>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</si>
  <si>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</si>
  <si>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</si>
  <si>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</si>
  <si>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</si>
  <si>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</si>
  <si>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</si>
  <si>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</si>
  <si>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</si>
  <si>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</si>
  <si>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</si>
  <si>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</si>
  <si>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TOTAL</t>
  </si>
  <si>
    <t>RATE YEAR</t>
  </si>
  <si>
    <t>COSTS</t>
  </si>
  <si>
    <t>INCOME TAX</t>
  </si>
  <si>
    <t>INSURANCE</t>
  </si>
  <si>
    <t>DEBTS</t>
  </si>
  <si>
    <t>AMORTIZATION</t>
  </si>
  <si>
    <t>TAXES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</si>
  <si>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</si>
  <si>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</si>
  <si>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</si>
  <si>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</si>
  <si>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</si>
  <si>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</si>
  <si>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</si>
  <si>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</si>
  <si>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</si>
  <si>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</si>
  <si>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</si>
  <si>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</si>
  <si>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</si>
  <si>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</si>
  <si>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FUEL</t>
  </si>
  <si>
    <t>CHARGED TO EXPENSE IN TY</t>
  </si>
  <si>
    <t>CHARGED TO EXPENSE FOR TEST YEAR</t>
  </si>
  <si>
    <t>TAX RATE</t>
  </si>
  <si>
    <t>OPERATING REVENUES</t>
  </si>
  <si>
    <t>GPI MWH</t>
  </si>
  <si>
    <t>CHANGE</t>
  </si>
  <si>
    <t>PROFORMA BAD DEBT RATE</t>
  </si>
  <si>
    <t>RATE BASE</t>
  </si>
  <si>
    <t>PAYROLL OVERHEADS</t>
  </si>
  <si>
    <t>ANNUAL FILING FEE</t>
  </si>
  <si>
    <t>WHEELING</t>
  </si>
  <si>
    <t>INCREASE (DECREASE) NOI</t>
  </si>
  <si>
    <t>PROFORMA BAD DEBTS</t>
  </si>
  <si>
    <t>PAYROLL TAXES ASSOC WITH MERIT PAY</t>
  </si>
  <si>
    <t>RESTATING ADJUSTMENTS SALES TO CUSTOMERS</t>
  </si>
  <si>
    <t>PROFORMA ADJUSTMENTS SALES TO CUSTOMERS</t>
  </si>
  <si>
    <t>MISCELLANEOUS RESTATING ADJUSTMENT</t>
  </si>
  <si>
    <t>TOTAL INCREASE (DECREASE) SALES FOR RESALE - SMALL FIRM</t>
  </si>
  <si>
    <t>Sumas</t>
  </si>
  <si>
    <t>Goldendale</t>
  </si>
  <si>
    <t>Fredrickson 1</t>
  </si>
  <si>
    <t>Period</t>
  </si>
  <si>
    <t>CURRENTLY PAYABLE</t>
  </si>
  <si>
    <t>PROPERTY INSURANCE</t>
  </si>
  <si>
    <t xml:space="preserve">  STORM DAMAGE EXPENSE (LINE 8)</t>
  </si>
  <si>
    <t>OREGON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</si>
  <si>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</si>
  <si>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</si>
  <si>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</si>
  <si>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</si>
  <si>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</si>
  <si>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</si>
  <si>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 xml:space="preserve">  TWELVE MONTHS ENDED 12/31/05</t>
  </si>
  <si>
    <t xml:space="preserve">  TWELVE MONTHS ENDED 12/31/06</t>
  </si>
  <si>
    <t xml:space="preserve">  TWELVE MONTHS ENDED 12/31/07</t>
  </si>
  <si>
    <t>SUMMARY - Production Related Employee Benefits and Payroll Taxes</t>
  </si>
  <si>
    <t>Production O&amp;M - reclassify to 557</t>
  </si>
  <si>
    <t>Other Power Supply Expense</t>
  </si>
  <si>
    <t>Total 557 used in Power Cost Rate</t>
  </si>
  <si>
    <t>DETAIL</t>
  </si>
  <si>
    <t>Cost Element Group - ASMT_BENEF</t>
  </si>
  <si>
    <t>Steam Oper Supv &amp; Engineering</t>
  </si>
  <si>
    <t>Steam Oper Steam Expenses</t>
  </si>
  <si>
    <t>Steam Maint Electric Plant</t>
  </si>
  <si>
    <t>Hydro Oper Supv &amp; Engineering</t>
  </si>
  <si>
    <t>Hydro Oper Hydraulic Expenses</t>
  </si>
  <si>
    <t>Hydro Oper Electric Expenses</t>
  </si>
  <si>
    <t>Hydro Oper Misc Hydraulic Exp</t>
  </si>
  <si>
    <t>Hydro Maint Supv &amp; Engineering</t>
  </si>
  <si>
    <t>Hydro Maint Structures</t>
  </si>
  <si>
    <t>Hydro Maint Res, Dams, Wtrwys</t>
  </si>
  <si>
    <t>Hydro Maint Electric Plant</t>
  </si>
  <si>
    <t>Hydro Maint Misc Hydraulic Plt</t>
  </si>
  <si>
    <t>Other Pwr Gen Oper Supv &amp; Eng</t>
  </si>
  <si>
    <t>Other Pwr Gen Oper Gen Exp</t>
  </si>
  <si>
    <t>Other Pwr Gen Oper Misc</t>
  </si>
  <si>
    <t>Other Pwr Gen Maint Supv &amp; Eng</t>
  </si>
  <si>
    <t>Other Pwr Gen Maint Structures</t>
  </si>
  <si>
    <t>Other Pwr Gen Maint Gen &amp; Elec</t>
  </si>
  <si>
    <t>Other Pwr Gen Maint Misc</t>
  </si>
  <si>
    <t>System Control &amp; Load Dispatch</t>
  </si>
  <si>
    <t>TOTAL PRODUCTION RELATED</t>
  </si>
  <si>
    <t>Cost Element Group - ASMT_TAXES</t>
  </si>
  <si>
    <t>Calculation of proforma transmission revenue adjustment</t>
  </si>
  <si>
    <t>Account</t>
  </si>
  <si>
    <t xml:space="preserve">Adjustment </t>
  </si>
  <si>
    <t>WILD HORSE</t>
  </si>
  <si>
    <t xml:space="preserve"> SOLAR</t>
  </si>
  <si>
    <t>C</t>
  </si>
  <si>
    <t>Purchase &amp; Interchange</t>
  </si>
  <si>
    <t>Other Power Supply</t>
  </si>
  <si>
    <t>Secondary Sales</t>
  </si>
  <si>
    <t>Non-Core Gas</t>
  </si>
  <si>
    <t>Load in MWh</t>
  </si>
  <si>
    <t>Delivered Load</t>
  </si>
  <si>
    <t>Revenue Requirement Adjustments:</t>
  </si>
  <si>
    <t>Before adjustment</t>
  </si>
  <si>
    <t>Tenaska Prudence Disallowance</t>
  </si>
  <si>
    <t>March Point 2 Prudence Disallowance</t>
  </si>
  <si>
    <t>Production O&amp;M (including ben &amp; p/r tax)</t>
  </si>
  <si>
    <r>
      <t xml:space="preserve">For Assessment Year </t>
    </r>
    <r>
      <rPr>
        <b/>
        <sz val="10"/>
        <color indexed="10"/>
        <rFont val="Arial"/>
        <family val="2"/>
      </rPr>
      <t xml:space="preserve">2011 </t>
    </r>
    <r>
      <rPr>
        <b/>
        <sz val="10"/>
        <rFont val="Arial"/>
        <family val="2"/>
      </rPr>
      <t xml:space="preserve">Payable in </t>
    </r>
    <r>
      <rPr>
        <b/>
        <sz val="10"/>
        <color indexed="10"/>
        <rFont val="Arial"/>
        <family val="2"/>
      </rPr>
      <t>2012</t>
    </r>
  </si>
  <si>
    <t>(11-12)</t>
  </si>
  <si>
    <t>Non -Oper property</t>
  </si>
  <si>
    <t>ACCUM AMORT. CREDIT PYMT FR. BPA</t>
  </si>
  <si>
    <t>NET LSR PREPAID TRANS. RATEBASE</t>
  </si>
  <si>
    <t xml:space="preserve">     CARRYING CHARGES  BALANCE</t>
  </si>
  <si>
    <t>NET LSR CARRYING CHARGES RATEBASE</t>
  </si>
  <si>
    <t xml:space="preserve"> ACCUM AMORT. CARRYING CHARGES</t>
  </si>
  <si>
    <t xml:space="preserve"> DEFERRED INCOME TAX</t>
  </si>
  <si>
    <t>REGULATORY ASSET</t>
  </si>
  <si>
    <t>NET RATEBASE</t>
  </si>
  <si>
    <t>AMORTIZATION OF PURCHASE PRICE:</t>
  </si>
  <si>
    <t>NON-TAXABLE</t>
  </si>
  <si>
    <t>TOTAL AMORTIZATION OF PURCHASE PRICE</t>
  </si>
  <si>
    <t>AMORTIZATION (NOTE 1) AND DISALLOWANCES</t>
  </si>
  <si>
    <t>LSR Plant</t>
  </si>
  <si>
    <t>Less LSR</t>
  </si>
  <si>
    <t>Ppd Transm</t>
  </si>
  <si>
    <t>Initiation Pmt</t>
  </si>
  <si>
    <t>Less Chelan</t>
  </si>
  <si>
    <t>Remove amounts shown on other adjustments</t>
  </si>
  <si>
    <t>TEST YEAR ENDED DECEMBER 31, 2010</t>
  </si>
  <si>
    <t>RATE YEAR ENDED APRIL 30, 2013</t>
  </si>
  <si>
    <t>PRINCIPAL PORTION OF LSR PREPAID TRANSMISSION (AMA)</t>
  </si>
  <si>
    <t>ACCUMULATED AMORTIZATION</t>
  </si>
  <si>
    <t>PAYMENTS</t>
  </si>
  <si>
    <t>AMORTIZATION OF LOWER SNAKE RIVER</t>
  </si>
  <si>
    <t>OPERATING EXPENSE FIXED COSTS</t>
  </si>
  <si>
    <t>AMORTIZATION OF FIXED COST DEFERRAL</t>
  </si>
  <si>
    <t>DEFERRAL OF LOWER SNAKE RIVER FIXED COSTS</t>
  </si>
  <si>
    <t>INCREASE (DECREASE) OPERATING EXPENSES</t>
  </si>
  <si>
    <t>INCREASE (DECREASE) FIT                                                                    35%</t>
  </si>
  <si>
    <t xml:space="preserve">INCREASE (DECREASE) NOI                                                          </t>
  </si>
  <si>
    <t>TOTAL LOWER SNAKER RIVER PROJECT RATE BASE</t>
  </si>
  <si>
    <t>TOTAL AMORTIZATION LSR PROJECT</t>
  </si>
  <si>
    <t>LSR PROJECT AMA ACCUMULATED AMORTIZATION</t>
  </si>
  <si>
    <t xml:space="preserve">LSR PROJECT AMA GROSS - DEF </t>
  </si>
  <si>
    <t>LSR PROJECT AMA ACCUMULATED DEFERRED FIT</t>
  </si>
  <si>
    <t>LOWER SNAKE RIVER AMORTIZATION (407.3)</t>
  </si>
  <si>
    <t>(NOTE 1)</t>
  </si>
  <si>
    <t>DOES NOT INCLUDE A DEDUCTION FOR INTEREST AS THE TAX EFFECT FOR TOTAL</t>
  </si>
  <si>
    <t>REMOVE COSTS ASSOCIATED WITH TENASKA REGULATORY ASSET</t>
  </si>
  <si>
    <t>REMOVE EXPENSE ASSOCIATED WITH FUTURE PTC LIABILITY</t>
  </si>
  <si>
    <t>OPERATING EXPENSES:</t>
  </si>
  <si>
    <t>PUGET SOUND ENERGY, INC.</t>
  </si>
  <si>
    <t>2011 GRC Power Costs Projections - AURORA + Not in Models</t>
  </si>
  <si>
    <t>Rate Year May 2012 through April 2013</t>
  </si>
  <si>
    <t>(dollars are in thousands)</t>
  </si>
  <si>
    <t>12ME Dec 2010</t>
  </si>
  <si>
    <t>Steam Oper Electric Expense</t>
  </si>
  <si>
    <t>4310-Non Refundable transmission</t>
  </si>
  <si>
    <t>12ME ENDED 12/2010</t>
  </si>
  <si>
    <t>WESTCOAST PIPELINE CAPACITY - UE-100503 (BNP PARIBUS)</t>
  </si>
  <si>
    <t>WESTCOAST PIPELINE CAPACITY - UE-082013 (FB ENERGY)</t>
  </si>
  <si>
    <t xml:space="preserve"> GENERAL RATE INCREASE</t>
  </si>
  <si>
    <t>DFIT - WHITE RIVER REG ASSET</t>
  </si>
  <si>
    <t>AMORTIZATION OF AFPC PORTION (NOTE 3)</t>
  </si>
  <si>
    <t>GENERAL PLANT</t>
  </si>
  <si>
    <t>ACCUMULATED DEPRECIATION - ELECTRIC</t>
  </si>
  <si>
    <t>TOTAL ADJUSTMENT TO RATE BASE</t>
  </si>
  <si>
    <t xml:space="preserve">  TWELVE MONTHS ENDED 12/31/09</t>
  </si>
  <si>
    <t xml:space="preserve">  TWELVE MONTHS ENDED 12/31/10</t>
  </si>
  <si>
    <t xml:space="preserve">DEFERRED BALANCES FOR UE-090704 4 YEAR AMORTIZATION </t>
  </si>
  <si>
    <t>AT START OF RATE YEAR (05/1/12):</t>
  </si>
  <si>
    <t>START OF RATE YEAR (05/1/12):</t>
  </si>
  <si>
    <t>REVISED</t>
  </si>
  <si>
    <t>Colstrip Settlement</t>
  </si>
  <si>
    <t>Proform</t>
  </si>
  <si>
    <t>Vestas</t>
  </si>
  <si>
    <t>Revenue</t>
  </si>
  <si>
    <t>ELECTRIC RESULTS OF OPERATIONS</t>
  </si>
  <si>
    <t>UNIT COST</t>
  </si>
  <si>
    <t xml:space="preserve">RESTATED </t>
  </si>
  <si>
    <t>Dollars/Kwh</t>
  </si>
  <si>
    <t xml:space="preserve"> VARIANCE</t>
  </si>
  <si>
    <t>OPERATING REVENUES:</t>
  </si>
  <si>
    <t>RESIDENTIAL EXCHANGE</t>
  </si>
  <si>
    <t>CUSTOMER ACCOUNT EXPENSES</t>
  </si>
  <si>
    <t>AMORTIZATION OF PROPERTY LOSS</t>
  </si>
  <si>
    <t>TAXES OTHER INCOME TAXES</t>
  </si>
  <si>
    <t>RETURN ON RATE BASE</t>
  </si>
  <si>
    <t>REVENUE DEFICIENCY - NET OF TAX</t>
  </si>
  <si>
    <t xml:space="preserve">  </t>
  </si>
  <si>
    <t>FOR THE TWELVE MONTHS ENDED DECEMBER 31, 2010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</si>
  <si>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</si>
  <si>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</si>
  <si>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</si>
  <si>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</si>
  <si>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</si>
  <si>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</si>
  <si>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ACCUMULATED DEFERRED FIT</t>
  </si>
  <si>
    <t>LAID OFF EMPLOYEES:</t>
  </si>
  <si>
    <t xml:space="preserve">     OTHER PRODUTION EXPENSES </t>
  </si>
  <si>
    <t xml:space="preserve">     DISTRIBUTION</t>
  </si>
  <si>
    <t xml:space="preserve">     ADMIN &amp; GENERAL</t>
  </si>
  <si>
    <t>BENEFITS  ON THE ABOVE WAGE ADJUSTMENTS</t>
  </si>
  <si>
    <t>PAYROLL TAXES ON THE ABOVE WAGE ADJUSTMENTS</t>
  </si>
  <si>
    <t>ADJUST FERC LAND USE FEES</t>
  </si>
  <si>
    <t>LOWER SNAKE RIVER PREPAID TRANS DEPOSITS (407.3)</t>
  </si>
  <si>
    <t>TEMPERATURE NORMALIZATION ADJUSTMENT:</t>
  </si>
  <si>
    <t>PROFORMA INTEREST</t>
  </si>
  <si>
    <t>PRO FORMA</t>
  </si>
  <si>
    <t>FIT</t>
  </si>
  <si>
    <t>PURCHASES/SALES OF NON-CORE GAS</t>
  </si>
  <si>
    <t>WHEELING FOR OTHERS</t>
  </si>
  <si>
    <t>PLANT BALANCE</t>
  </si>
  <si>
    <t>DEPRECIATION EXPENSE</t>
  </si>
  <si>
    <t>WHITE RIVER RELICENSING &amp; CWIP</t>
  </si>
  <si>
    <t>AMA OF REGULATORY ASSET/LIABILITY NET OF ACCUM AMORT AND DFIT</t>
  </si>
  <si>
    <t>4310-Elec Trans Rev - Network 449 Transm</t>
  </si>
  <si>
    <t>4310-Elec Trans Rev- Network 449 Anc.svc</t>
  </si>
  <si>
    <t>4310-Elec Trans Rev -Network 449 Imbalan</t>
  </si>
  <si>
    <t>4310 - Other Elec Rev - Transm Snohomish</t>
  </si>
  <si>
    <t>4310-Elec Trans Rev -OASIS-Cols,SI ,NI</t>
  </si>
  <si>
    <t>4310 - Other Elec Rev - Transm Seattle</t>
  </si>
  <si>
    <t>4310 - Other Elec Rev -Transm Tacoma</t>
  </si>
  <si>
    <t>4310- Elec Transm Rev - BPA GTA to OATT</t>
  </si>
  <si>
    <t>4310- Elec Transm Rev -GTA Direct charge</t>
  </si>
  <si>
    <t>4310- Elec Transm Rev - WA ST Tax -OASIS</t>
  </si>
  <si>
    <t>4310-Elec Trans Rev -Generator Imbalance</t>
  </si>
  <si>
    <t>4310 - Elec Trans. Rev - GTA Imbalance</t>
  </si>
  <si>
    <t>4310 - Elec Trans Rev - SeaTac OATT (T)</t>
  </si>
  <si>
    <t>4310 - Elec Trans Rev -SeaTac OATT (WDS)</t>
  </si>
  <si>
    <t>4310-Elec Trans Rev-SeaTac Ancillary Svc</t>
  </si>
  <si>
    <t>4310-Elec Trans Rev-SeaTac Egy Imbalance</t>
  </si>
  <si>
    <t>Adjustment Detail (Page 1)</t>
  </si>
  <si>
    <t>Adjustment Detail (Page 2)</t>
  </si>
  <si>
    <t>Adjustment Detail (Page 3)</t>
  </si>
  <si>
    <t>Adjustment Detail (Page 4)</t>
  </si>
  <si>
    <t>TOTAL DEPRECIATION EXPENSE</t>
  </si>
  <si>
    <t>ADJUSTMENT TO RATE BASE</t>
  </si>
  <si>
    <t>ADJUSTMENTS</t>
  </si>
  <si>
    <t>OPERATING INCOME DEFICIENCY</t>
  </si>
  <si>
    <t>REVENUE REQUIREMENT DEFICIENCY</t>
  </si>
  <si>
    <t xml:space="preserve">  DEFERRED TAXES</t>
  </si>
  <si>
    <t xml:space="preserve">  OTHER</t>
  </si>
  <si>
    <t xml:space="preserve">  ALLOWANCE FOR WORKING CAPITAL</t>
  </si>
  <si>
    <t>12 Mo. AMA 12/31/2008</t>
  </si>
  <si>
    <t>ARO- Hopkins Ridge</t>
  </si>
  <si>
    <t>ARO- Elec Shuffelton Harbor Lease</t>
  </si>
  <si>
    <t>ARO-Frederickson</t>
  </si>
  <si>
    <t>ARO-Wild Horse Wind</t>
  </si>
  <si>
    <t>E3411</t>
  </si>
  <si>
    <t>E3441</t>
  </si>
  <si>
    <t>TOTAL AFTER TAX COST OF CAPITAL</t>
  </si>
  <si>
    <t>TEMPERATURE</t>
  </si>
  <si>
    <t>Depreciation</t>
  </si>
  <si>
    <t xml:space="preserve">INCREASE (DECREASE) DEFERRED FIT @ </t>
  </si>
  <si>
    <t>Test Year Depreciable Production Property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</si>
  <si>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</si>
  <si>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</si>
  <si>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</si>
  <si>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</si>
  <si>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</si>
  <si>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</si>
  <si>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</si>
  <si>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</si>
  <si>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</si>
  <si>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</si>
  <si>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</si>
  <si>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RESTATING ADJUSTMENTS:</t>
  </si>
  <si>
    <t>Rate Increase</t>
  </si>
  <si>
    <t>REVENUE ADJUSTMENT:</t>
  </si>
  <si>
    <t>Transmission</t>
  </si>
  <si>
    <t>Distribution</t>
  </si>
  <si>
    <t>Total</t>
  </si>
  <si>
    <t>PAYROLL TAXES</t>
  </si>
  <si>
    <t>HYDRO AND OTHER POWER</t>
  </si>
  <si>
    <t>AND RESTATED</t>
  </si>
  <si>
    <t>TOTAL ADMIN &amp; GENERAL EXPENSES</t>
  </si>
  <si>
    <t>O&amp;M ON PRODUCTION PROPERTY</t>
  </si>
  <si>
    <t>PRODUCTION PROPERTY RATE BASE:</t>
  </si>
  <si>
    <t>HOPKINS RIDGE PREPAID TRANSMISSION</t>
  </si>
  <si>
    <t>Snoqualmie 1/2</t>
  </si>
  <si>
    <t>Freddie 1</t>
  </si>
  <si>
    <t>Hopkins</t>
  </si>
  <si>
    <t>= Rate Year</t>
  </si>
  <si>
    <t>&amp; Dispatch</t>
  </si>
  <si>
    <t>Sys Control</t>
  </si>
  <si>
    <t>Power Costs</t>
  </si>
  <si>
    <t>TEST YEAR CORE DELIVERED LOAD BEFORE PROFORMA/RESTATING</t>
  </si>
  <si>
    <t>01/10-12/10</t>
  </si>
  <si>
    <t>Puget Sound Energy - 2011 GRC</t>
  </si>
  <si>
    <t>TY 01/10 - 12/10</t>
  </si>
  <si>
    <t>Ops &amp; Maint</t>
  </si>
  <si>
    <t>Baker License</t>
  </si>
  <si>
    <t>Snoqualmie License</t>
  </si>
  <si>
    <t>Whitehorse Expansion</t>
  </si>
  <si>
    <t>Lower Snake River</t>
  </si>
  <si>
    <t>Colstrip - Remove Test Year</t>
  </si>
  <si>
    <t>Colstrip Settlement - Reduce TY by refund already included in 09GRC</t>
  </si>
  <si>
    <t>Colstrip - Proform in Rate Year Budget</t>
  </si>
  <si>
    <t>Baker Licensing</t>
  </si>
  <si>
    <t>Snoqualmie Licensing</t>
  </si>
  <si>
    <t>Freddy 1 - Remove Test Year</t>
  </si>
  <si>
    <t>Docket Number UE-111048</t>
  </si>
  <si>
    <t>Freddy 1 - Rate Year per Capital Power Operations Budget</t>
  </si>
  <si>
    <t>Wind Plant - Hopkins Ridge Vestas Contract</t>
  </si>
  <si>
    <t>Wind Plant - Wild Horse  Vestas Contract</t>
  </si>
  <si>
    <t xml:space="preserve"> Wild Horse Extension Vestas Contract</t>
  </si>
  <si>
    <t>Wind Plant - Hopkins Ridge Proform Wind Royalties</t>
  </si>
  <si>
    <t>Wind Plant - Wild Horse Proform Wind Royalties</t>
  </si>
  <si>
    <t>Wild Horse Extension Proform Wind Royalties</t>
  </si>
  <si>
    <t>Lower Snake River Royalties and O&amp;M</t>
  </si>
  <si>
    <t>Wild Horse</t>
  </si>
  <si>
    <t>Jackson Prairie</t>
  </si>
  <si>
    <t>Snoq.</t>
  </si>
  <si>
    <t>Freddy</t>
  </si>
  <si>
    <t>Baker Lic.</t>
  </si>
  <si>
    <t>License</t>
  </si>
  <si>
    <t>Wind Royalties</t>
  </si>
  <si>
    <t>&lt;======================================================   Adjustments   ============================================================ &gt;</t>
  </si>
  <si>
    <t>1 - 3</t>
  </si>
  <si>
    <t>Bkr Lic.</t>
  </si>
  <si>
    <t>Snoq. Lic.</t>
  </si>
  <si>
    <t>Vestas -HR</t>
  </si>
  <si>
    <t>Vestas - WH</t>
  </si>
  <si>
    <t>Adjustments</t>
  </si>
  <si>
    <t>09GRC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</si>
  <si>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</si>
  <si>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</si>
  <si>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</si>
  <si>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</si>
  <si>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</si>
  <si>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BEP (555)</t>
  </si>
  <si>
    <t>Whitehorn Acquisition Adjustment</t>
  </si>
  <si>
    <t>(NOTE 3) AFPC STANDS FOR ALLOWANCE FOR FUNDS ON POWER CONTRACTS</t>
  </si>
  <si>
    <t>EXCISE TAX &amp; FILING FEE</t>
  </si>
  <si>
    <t>Page 1 of 12</t>
  </si>
  <si>
    <t>Page 7 of 12</t>
  </si>
  <si>
    <t>CHARGED TO EXPENSE FOR YEAR ENDED 12/31/10</t>
  </si>
  <si>
    <t>Colstrip 1&amp;2 Belmontez Settlement</t>
  </si>
  <si>
    <t>Colstrip 1&amp;2 Global Settlement</t>
  </si>
  <si>
    <t>Colstrip 1&amp;2 Ash Pond Settlement</t>
  </si>
  <si>
    <t>Colstrip 3&amp;4 Global Settemt</t>
  </si>
  <si>
    <t>Colstrip 3&amp;4 Ash Pond Settlement</t>
  </si>
  <si>
    <t>2009 December
In Thousands</t>
  </si>
  <si>
    <t>2010 December
In Thousands</t>
  </si>
  <si>
    <t>Deferred Taxes - AMA 12/31/2010</t>
  </si>
  <si>
    <t>(Adjusted for Federal Tax) (Line 8 / (1 - 35%))</t>
  </si>
  <si>
    <t>EXECUTIVE SALARY</t>
  </si>
  <si>
    <t>WHITE RIVER PLANT COSTS (407)</t>
  </si>
  <si>
    <t>HOPKINS RIDGE PREPAID TRANSMISSION (565)</t>
  </si>
  <si>
    <t>GOLDENDALE FIXED COSTS DEFERRAL (407.3)</t>
  </si>
  <si>
    <t>HOPKINS RIDGE MITIGATION CREDIT (555)</t>
  </si>
  <si>
    <t>WESTCOAST PIPELINE CAPACITY - UE-082013 (FB ENERGY) (547)</t>
  </si>
  <si>
    <t>WESTCOAST PIPELINE CAPACITY - UE-100503 (BNP PARIBUS) (547)</t>
  </si>
  <si>
    <t>COLSTRIP 1&amp;2 (WECo) PREPAYMENT (501)</t>
  </si>
  <si>
    <t>Move Chelan Reservation Amort to Separate Adjustment</t>
  </si>
  <si>
    <t>AMORTIZATION OF PRINCIPAL (565)</t>
  </si>
  <si>
    <t>AMORTIZATION OF CARRYING CHARGES (407.3)</t>
  </si>
  <si>
    <t>AMORTIZATION OF INITIATION PAYMENT (555)</t>
  </si>
  <si>
    <t>REMOVE REC REVENUES - SCH 137</t>
  </si>
  <si>
    <t>REMOVE OFFSET TO REDUCTION OF REC LIABILITY - SCH 137</t>
  </si>
  <si>
    <t>REMOVE OFFSET TO REDUCTION OF REC LIABILITY - PTC OFFSETS</t>
  </si>
  <si>
    <t>REMOVE EXPENSE RECOGNIZED FOR FUTURE PTC LIABILITY</t>
  </si>
  <si>
    <t>PROPERTY TAX</t>
  </si>
  <si>
    <t>TOTAL PREPAID DEPOSIT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</si>
  <si>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</si>
  <si>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</si>
  <si>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</si>
  <si>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</si>
  <si>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</si>
  <si>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TRANSM DEP</t>
  </si>
  <si>
    <t>LSR PPD</t>
  </si>
  <si>
    <t>MT ELECTRIC</t>
  </si>
  <si>
    <t>REMOVE</t>
  </si>
  <si>
    <t>CHELAN</t>
  </si>
  <si>
    <t>OPERATING</t>
  </si>
  <si>
    <t>LOWER SNAKE RIVER PROJECT</t>
  </si>
  <si>
    <t>LOWER SNAKE RIVER PREPAID TRANSMISSION DEPOSITS</t>
  </si>
  <si>
    <t xml:space="preserve">WILD HORSE SOLAR </t>
  </si>
  <si>
    <t>STORM DAMAGE</t>
  </si>
  <si>
    <t>CONTRACT PAYMENTS TO CHELAN PUD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</si>
  <si>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</si>
  <si>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</si>
  <si>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</si>
  <si>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</si>
  <si>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</si>
  <si>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</si>
  <si>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MISCELLANEOUS OPERATING EXPENSE</t>
  </si>
  <si>
    <t>General Rate Case - Test Year 12ME 12/2010; Rate Year 12ME 5/2013</t>
  </si>
  <si>
    <t>GENERAL PLANT DEPRECIATION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</si>
  <si>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</si>
  <si>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</si>
  <si>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</si>
  <si>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</si>
  <si>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</si>
  <si>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CHELAN RESERVATION PAYMENT</t>
  </si>
  <si>
    <t>CHELAN SECURITY DEPOSIT</t>
  </si>
  <si>
    <t>CARRYING CHARGES ON LSR PREPAID TRANSM DEPOSITS</t>
  </si>
  <si>
    <t>DFIT WHITE RIVER REG ASSETS</t>
  </si>
  <si>
    <t>TAXABLE DEPRECIATION EXPENSE</t>
  </si>
  <si>
    <t>NON-TAXABLE DEPRECIATION EXPENSE</t>
  </si>
  <si>
    <t>Lower Snake River  Non-Taxable (5.02)</t>
  </si>
  <si>
    <t>Lower Snake River  - Taxable (5.02)</t>
  </si>
  <si>
    <t>REMOVE DEFERRAL OF MINT FARM COSTS</t>
  </si>
  <si>
    <t>REMOVE DEFERRAL OF WILD HORSE EXPANSION COSTS</t>
  </si>
  <si>
    <t>WESTCOAST PIPELINE CAPACITY - UE-082013 (547)</t>
  </si>
  <si>
    <t>MINT FARM DEFERRAL (407.3)</t>
  </si>
  <si>
    <t>WILD HORSE EXPANSION DEFERRAL (407.3)</t>
  </si>
  <si>
    <t>REMOVE TENASKA REGULATORY ASSET TRACKER (SCH 133)</t>
  </si>
  <si>
    <t>RECLASS OF CUSTOMERS BETWEEN TARIFFS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</si>
  <si>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</si>
  <si>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</si>
  <si>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</si>
  <si>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</si>
  <si>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</si>
  <si>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</si>
  <si>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</si>
  <si>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</si>
  <si>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SCHEDULE 40 - LARGE SEC VOLTAGE</t>
  </si>
  <si>
    <t>SCHEDULE 40 - PRIMARY VOLTAGE</t>
  </si>
  <si>
    <t>LIGHTING</t>
  </si>
  <si>
    <t>FIRM RESALE</t>
  </si>
  <si>
    <t>INITIATION PAYMENT BALANCE</t>
  </si>
  <si>
    <t>INITIATION PAYMENT AMA (UE-060539)</t>
  </si>
  <si>
    <t>NET INITIATION PAYMENT RATEBASE AMA</t>
  </si>
  <si>
    <t>SECURITY DEPOSIT BALANCE</t>
  </si>
  <si>
    <t>SECURITY DEPOSIT AMA</t>
  </si>
  <si>
    <t>NET SCURITY DEPOSIT AMA</t>
  </si>
  <si>
    <t>INCREASE RATEBASE</t>
  </si>
  <si>
    <t>2008 STORM DAMAGE-PENDING APPROVAL</t>
  </si>
  <si>
    <t>2010 STORM DAMAGE-PENDING APPROVAL</t>
  </si>
  <si>
    <t>TOTAL (LINE 34)</t>
  </si>
  <si>
    <t>INCREASE (DECREASE) OPERATING EXPENSE (LINE 38- LINE 39)</t>
  </si>
  <si>
    <t>FERC PART 12 STUDY NON-CONSTRUCTION COSTS UE-070074</t>
  </si>
  <si>
    <t>¸</t>
  </si>
  <si>
    <t>Ref</t>
  </si>
  <si>
    <t>&amp; LIABILITIES</t>
  </si>
  <si>
    <t>Increase (Decrease) Depreciation Expense</t>
  </si>
  <si>
    <t>Rate Year</t>
  </si>
  <si>
    <t>(a)</t>
  </si>
  <si>
    <t>Variable Transmission Income</t>
  </si>
  <si>
    <t>REMOVE RESIDENTIAL EXCHANGE - SCH 194</t>
  </si>
  <si>
    <t>(b)</t>
  </si>
  <si>
    <t>NORMALIZE INJURIES AND DAMAGES</t>
  </si>
  <si>
    <t>NORMALIZE</t>
  </si>
  <si>
    <t>INJ &amp; DMGS</t>
  </si>
  <si>
    <t>RESTATED EXCISE TAXES</t>
  </si>
  <si>
    <t>INCREASE (DECREASE) EXCISE TAX</t>
  </si>
  <si>
    <t>EXCISE TAX</t>
  </si>
  <si>
    <t>&amp; FILING FEE</t>
  </si>
  <si>
    <t>INCREASE(DECREASE) OPERATING EXPENSE</t>
  </si>
  <si>
    <t>INCREASE (DECREASE) OPERATING EXPENSE</t>
  </si>
  <si>
    <t>Payroll Taxes on Production Wages and Incentive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</si>
  <si>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</si>
  <si>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</si>
  <si>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</si>
  <si>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</si>
  <si>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</si>
  <si>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</si>
  <si>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</si>
  <si>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</si>
  <si>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</si>
  <si>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</si>
  <si>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</si>
  <si>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CONTRACT MAJOR MAINTENANCE:</t>
  </si>
  <si>
    <t xml:space="preserve">    SUMAS NOVEMBER 2010 HOT GAS PATH INSPECTION</t>
  </si>
  <si>
    <t xml:space="preserve">    FREDDY 1 JULY 2009 HOT GAS PATH INSPECTION</t>
  </si>
  <si>
    <t xml:space="preserve">    GOLENDALE MAY 2009 COMBUSTION INSPECTION</t>
  </si>
  <si>
    <t xml:space="preserve">    SUMAS NOVEMBER 2008 COMBUSTION INSPECTION</t>
  </si>
  <si>
    <t xml:space="preserve">    MINT FARM JUNE 2010 COMBUSTION INSPECTION</t>
  </si>
  <si>
    <t xml:space="preserve">ACCUM DEPRECIATION </t>
  </si>
  <si>
    <t>DEFERRED INCOME TAX</t>
  </si>
  <si>
    <t>Waterwheels, turbines</t>
  </si>
  <si>
    <t>E338</t>
  </si>
  <si>
    <t>Per Month for Schedule B</t>
  </si>
  <si>
    <t>E348</t>
  </si>
  <si>
    <t>Washington</t>
  </si>
  <si>
    <t>Oregon</t>
  </si>
  <si>
    <t>Montana</t>
  </si>
  <si>
    <t>(A)</t>
  </si>
  <si>
    <t>Total plant in Service</t>
  </si>
  <si>
    <t>(B)</t>
  </si>
  <si>
    <t>Future Use</t>
  </si>
  <si>
    <t>(C)</t>
  </si>
  <si>
    <t>Acquisition Adj</t>
  </si>
  <si>
    <t>(D)</t>
  </si>
  <si>
    <t>Frederickson - Steam Production (not recoverable in rates)</t>
  </si>
  <si>
    <t>Other Production (not recoverable in rates)</t>
  </si>
  <si>
    <t>Steam Production (recoverable in rates)</t>
  </si>
  <si>
    <t>CWIP</t>
  </si>
  <si>
    <t>(E)</t>
  </si>
  <si>
    <t>LARGE FIRM WHOLESALE</t>
  </si>
  <si>
    <t>Power Costs are presented pro-forma, net of production factor in Adjustment 15.03.  Therefore, only the</t>
  </si>
  <si>
    <r>
      <t>change</t>
    </r>
    <r>
      <rPr>
        <sz val="10"/>
        <rFont val="Arial"/>
        <family val="2"/>
      </rPr>
      <t xml:space="preserve"> to production wages  and incentive costs (which are not included in Adjustment 15.03) needs to be</t>
    </r>
  </si>
  <si>
    <t>BEP</t>
  </si>
  <si>
    <t>&amp; EXPENSES</t>
  </si>
  <si>
    <t>Adjusted</t>
  </si>
  <si>
    <t>2006 STORM DAMAGE (EXCL 12/13/06 WIND STORM)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</si>
  <si>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</si>
  <si>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</si>
  <si>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</si>
  <si>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</si>
  <si>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</si>
  <si>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</si>
  <si>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2008 STORM DAMAGE</t>
  </si>
  <si>
    <t>REG ASSETS</t>
  </si>
  <si>
    <t>DEPRECIATION / AMORTIZATION:</t>
  </si>
  <si>
    <t>Factor</t>
  </si>
  <si>
    <t>various</t>
  </si>
  <si>
    <t>Puget Sound Energy</t>
  </si>
  <si>
    <t>Production Adjustment</t>
  </si>
  <si>
    <t>% Tax</t>
  </si>
  <si>
    <t>Proforma</t>
  </si>
  <si>
    <t>Production</t>
  </si>
  <si>
    <t>Per Books</t>
  </si>
  <si>
    <t>Line</t>
  </si>
  <si>
    <t>Deductible</t>
  </si>
  <si>
    <t>Amount</t>
  </si>
  <si>
    <t>Wage %</t>
  </si>
  <si>
    <t>FIT Amount</t>
  </si>
  <si>
    <t>Payroll Overheads:</t>
  </si>
  <si>
    <t>Investment Plan</t>
  </si>
  <si>
    <t>Employee Insurance</t>
  </si>
  <si>
    <t>Worker's Compensation</t>
  </si>
  <si>
    <t>Total Overheads</t>
  </si>
  <si>
    <t>Subtotal Depreciation</t>
  </si>
  <si>
    <t>Non-Depreciable Production Property:</t>
  </si>
  <si>
    <t>Non-Depreciable Production Property</t>
  </si>
  <si>
    <t>E317</t>
  </si>
  <si>
    <t>FIT PER BOOKS:</t>
  </si>
  <si>
    <t>ADMIN. &amp; GENERAL</t>
  </si>
  <si>
    <t>PRO FORMA INSURANCE COSTS</t>
  </si>
  <si>
    <t>CATASTROPHIC STORMS</t>
  </si>
  <si>
    <t>TOTAL WAGE INCREASE</t>
  </si>
  <si>
    <t>APPLICABLE TO OPERATIONS @</t>
  </si>
  <si>
    <t>PURCHASED AND INTERCHANGED</t>
  </si>
  <si>
    <t>TOTAL TAXES OTHER</t>
  </si>
  <si>
    <t>TOTAL CHARGED TO EXPENSE</t>
  </si>
  <si>
    <t xml:space="preserve">INCREASE(DECREASE) FIT </t>
  </si>
  <si>
    <t>OTHER POWER SUPPLY EXPENSES</t>
  </si>
  <si>
    <t>INCREASE(DECREASE) DEFERRED FIT</t>
  </si>
  <si>
    <t xml:space="preserve">INCREASE(DECREASE) NOI </t>
  </si>
  <si>
    <t>RATE BASE:</t>
  </si>
  <si>
    <t>COST OF</t>
  </si>
  <si>
    <t>CAPITAL %</t>
  </si>
  <si>
    <t>SALES FOR RESALE - SMALL FIRM AND SPECIAL CONTRACT</t>
  </si>
  <si>
    <t>Montana Electric Energy Tax</t>
  </si>
  <si>
    <t>12 MOS ENDED</t>
  </si>
  <si>
    <t>AUGUST</t>
  </si>
  <si>
    <t>DECEMBER</t>
  </si>
  <si>
    <t>Boiler Plant Equipment</t>
  </si>
  <si>
    <t>E314</t>
  </si>
  <si>
    <t>E315</t>
  </si>
  <si>
    <t>E316</t>
  </si>
  <si>
    <t>Hedging</t>
  </si>
  <si>
    <t>HEDGING</t>
  </si>
  <si>
    <t>Rate Base</t>
  </si>
  <si>
    <t>NOI</t>
  </si>
  <si>
    <t>DEFERRED G/L ON</t>
  </si>
  <si>
    <t>Exhibit A-2 Transmission Rate Base</t>
  </si>
  <si>
    <t>Plant</t>
  </si>
  <si>
    <t>AMA Accum</t>
  </si>
  <si>
    <t>Annualized</t>
  </si>
  <si>
    <t>Deprec/Amort</t>
  </si>
  <si>
    <t>Net</t>
  </si>
  <si>
    <t>TRANS - COLSTRIP 1 &amp; 2</t>
  </si>
  <si>
    <t>E350</t>
  </si>
  <si>
    <t>Land and Land Rights</t>
  </si>
  <si>
    <t>E351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</si>
  <si>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</si>
  <si>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</si>
  <si>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</si>
  <si>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</si>
  <si>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</si>
  <si>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</si>
  <si>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</si>
  <si>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</si>
  <si>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</si>
  <si>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</si>
  <si>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TRANS - COLSTRIP 3 &amp; 4</t>
  </si>
  <si>
    <t>E352</t>
  </si>
  <si>
    <t>TRANS - 3RD NW-SW INTERTIE</t>
  </si>
  <si>
    <t>TRANS -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</si>
  <si>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</si>
  <si>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</si>
  <si>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</si>
  <si>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</si>
  <si>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</si>
  <si>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</si>
  <si>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</si>
  <si>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DISALLOWANCES</t>
  </si>
  <si>
    <t>SUBTOTAL NORMALIZED</t>
  </si>
  <si>
    <t>TOTAL NET OPERATING INCOME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</si>
  <si>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</si>
  <si>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</si>
  <si>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</si>
  <si>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</si>
  <si>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</si>
  <si>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</si>
  <si>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</si>
  <si>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</si>
  <si>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</si>
  <si>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</si>
  <si>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</si>
  <si>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</si>
  <si>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</si>
  <si>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</si>
  <si>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</si>
  <si>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</si>
  <si>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Summary</t>
  </si>
  <si>
    <t>BAD DEBTS</t>
  </si>
  <si>
    <t>RESTATED PROPERTY TAX</t>
  </si>
  <si>
    <t>MONTANA ELECTRIC ENERGY TAX</t>
  </si>
  <si>
    <t>TOTAL OPERATING EXPENSES</t>
  </si>
  <si>
    <t>2006 GENERAL RATE CASE</t>
  </si>
  <si>
    <t>TEST YEAR TWELVE MONTHS ENDED DEC 31, 200</t>
  </si>
  <si>
    <t>RATE YEAR TWELVE MONTHS ENDED MARCH 2011</t>
  </si>
  <si>
    <t>DETAIL OF COSTS INCLUDED IN 557 FOR PURPOSES OF CALUCATING THE POWER COST RATE</t>
  </si>
  <si>
    <t>INCLUDED IN</t>
  </si>
  <si>
    <t>12ME 12/09</t>
  </si>
  <si>
    <t>557 IN PCR</t>
  </si>
  <si>
    <t>POWER COSTS IN ORDER GROUP 557 (OTHER POWER</t>
  </si>
  <si>
    <t>SUPPLY EXPENSE)</t>
  </si>
  <si>
    <t>PAYROLL TAXES ON PRODUCTION WAGES</t>
  </si>
  <si>
    <t>TOTAL 557 INCLUDED IN POWER COST RATE</t>
  </si>
  <si>
    <t>FOR THE TEST YEAR ENDED DECEMBER 31, 2010</t>
  </si>
  <si>
    <t>12 Mo. AMA 12/31/2010</t>
  </si>
  <si>
    <t>Annualized Depreciation Expense  12/31/2010</t>
  </si>
  <si>
    <t>Accum Depr (AMA)  12/31/2010</t>
  </si>
  <si>
    <t>AMA - Dec '10</t>
  </si>
  <si>
    <t>Annualized Accretion Expense 12/31/2010</t>
  </si>
  <si>
    <t>For the Twelve Months Ended 12/31/2010</t>
  </si>
  <si>
    <t>Rate Year:  Twelve Months Ended 04/31/2013</t>
  </si>
  <si>
    <t>ACQUISITION ADJUSTMENTS</t>
  </si>
  <si>
    <t>ADJUSTMENT NO. 13.05</t>
  </si>
  <si>
    <r>
      <t xml:space="preserve">ANNUAL NORMALIZATION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</si>
  <si>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9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</si>
  <si>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LESS TEST YEAR EXPENSE</t>
  </si>
  <si>
    <t>2007 AND 2009 GRC EXPENSES TO BE NORMALIZED</t>
  </si>
  <si>
    <t>2005 AND 2007 PCORC EXPENSES TO BE NORMALIZED</t>
  </si>
  <si>
    <t>REMOVE MERGER RATE CREDIT SCH 132</t>
  </si>
  <si>
    <t>ADD GRC INCREASE DOCKET UE-090704</t>
  </si>
  <si>
    <t>LOWER SNAKE RIVER RATEBASE (AMA)</t>
  </si>
  <si>
    <t>NET LSR EXPANSION PLANT RATEBASE</t>
  </si>
  <si>
    <t>LOWER SNAKE RIVER OPERATING EXPENSE</t>
  </si>
  <si>
    <t>LOWER SNAKE</t>
  </si>
  <si>
    <t>RIVER</t>
  </si>
  <si>
    <t>OTHER OPERATING</t>
  </si>
  <si>
    <t>RECLASS SPECIAL CONTRACT REVENUE FROM OTHER OPERATING</t>
  </si>
  <si>
    <t>RECLASS SPECIAL CONTRACT REVENUE TO SALES TO CUSTOMERS</t>
  </si>
  <si>
    <t>KWH</t>
  </si>
  <si>
    <t>RECLASS FERC 557</t>
  </si>
  <si>
    <t>Roads, Trails &amp; Bridges</t>
  </si>
  <si>
    <t>E337</t>
  </si>
  <si>
    <t>TOTAL HYDRO PRODUCTION</t>
  </si>
  <si>
    <t>E341</t>
  </si>
  <si>
    <t>E342</t>
  </si>
  <si>
    <t>Fuel Holders &amp; Accessories</t>
  </si>
  <si>
    <t>E344</t>
  </si>
  <si>
    <t>Generators</t>
  </si>
  <si>
    <t>E345</t>
  </si>
  <si>
    <t>E346</t>
  </si>
  <si>
    <t>Other Production</t>
  </si>
  <si>
    <t>E347</t>
  </si>
  <si>
    <t>INCREASE (DECREASE ) EXPENSE</t>
  </si>
  <si>
    <t>Wild Horse Solar (4.38)</t>
  </si>
  <si>
    <t>TOTAL OTHER PRODUCTION</t>
  </si>
  <si>
    <t>TOTAL DEPRECIABLE</t>
  </si>
  <si>
    <t>NON-DEPRECIABLE PRODUCTION PLANT</t>
  </si>
  <si>
    <t>Staff</t>
  </si>
  <si>
    <t>COMPARISON OF PSE REBUTTAL AND STAFF RESPONSE (ELECTRIC)</t>
  </si>
  <si>
    <t>LT  and ST Firm PTP</t>
  </si>
  <si>
    <t>All Other PTP, ASII</t>
  </si>
  <si>
    <t>Total Variable</t>
  </si>
  <si>
    <t>Interest Credit</t>
  </si>
  <si>
    <t>Item</t>
  </si>
  <si>
    <t>Summary of Tranmission Expense on LSR Phase 1</t>
  </si>
  <si>
    <t>DEM-9</t>
  </si>
  <si>
    <t>Included in</t>
  </si>
  <si>
    <t>Additional BPA</t>
  </si>
  <si>
    <t>Credits Identified</t>
  </si>
  <si>
    <t>in Staff DR 195</t>
  </si>
  <si>
    <t>LSR Transmission Expense</t>
  </si>
  <si>
    <t>d = b + c = e + f</t>
  </si>
  <si>
    <t>Plant Adj</t>
  </si>
  <si>
    <t>Ppd Dep Adj</t>
  </si>
  <si>
    <t>E310</t>
  </si>
  <si>
    <t>Steam Production - Land &amp; Land Rights</t>
  </si>
  <si>
    <t>E330</t>
  </si>
  <si>
    <t>Hydro Production - Land &amp; Land Rights</t>
  </si>
  <si>
    <t>E340</t>
  </si>
  <si>
    <t>Other Production - Land &amp; Land Rights</t>
  </si>
  <si>
    <t>Rock Island Expansion (E303)</t>
  </si>
  <si>
    <t>Whitehorn 2 &amp; 3 Leasesholds (E303)</t>
  </si>
  <si>
    <t>Baker River License (E302)</t>
  </si>
  <si>
    <t>Snoqualmie Project License (E302)</t>
  </si>
  <si>
    <t>TOTAL NON-DEPRECIABLE PROD PLANT</t>
  </si>
  <si>
    <t>Production Plant</t>
  </si>
  <si>
    <r>
      <t>Montana</t>
    </r>
    <r>
      <rPr>
        <sz val="10"/>
        <rFont val="Arial"/>
        <family val="2"/>
      </rPr>
      <t xml:space="preserve"> (All taxes are treated as either production or transmission)</t>
    </r>
  </si>
  <si>
    <t>SALES TO CUSTOMERS:</t>
  </si>
  <si>
    <t>PROFORMA ADJUSTMENTS:</t>
  </si>
  <si>
    <t>Subtotal</t>
  </si>
  <si>
    <t>Calculation of property taxes on production and transmission:</t>
  </si>
  <si>
    <t>The amounts determined below are used in the production adjustment as well as the development of the power cost rate for</t>
  </si>
  <si>
    <t>the PCA mechanism.  The amounts below are considered to be a component of the restated amount of property taxes shown in the Property</t>
  </si>
  <si>
    <t>Memo</t>
  </si>
  <si>
    <t>Subtotal Washington</t>
  </si>
  <si>
    <t>Subtotal Montana</t>
  </si>
  <si>
    <t>Total restated RY production &amp; transmission property taxes</t>
  </si>
  <si>
    <t>TAXES OTHER THAN INCOME TAXES</t>
  </si>
  <si>
    <t>INCOME TAXES</t>
  </si>
  <si>
    <t>PRODUCTION PLANT INFORMATION</t>
  </si>
  <si>
    <t>FERC Account or Group Asset #</t>
  </si>
  <si>
    <t>DEPRECIABLE PRODUCTION PLANT</t>
  </si>
  <si>
    <t>UTILITY PLANT RATEBASE</t>
  </si>
  <si>
    <t>Turbogenerator Units</t>
  </si>
  <si>
    <t>Accessory Electric Equip</t>
  </si>
  <si>
    <t>Misc Power Plant Equipment</t>
  </si>
  <si>
    <t>Asset Retirement Costs</t>
  </si>
  <si>
    <t>TOTAL STEAM PRODUCTION</t>
  </si>
  <si>
    <t>E331</t>
  </si>
  <si>
    <t>E332</t>
  </si>
  <si>
    <t>Reservoirs, Dams &amp; Waterways</t>
  </si>
  <si>
    <t>E333</t>
  </si>
  <si>
    <t>E334</t>
  </si>
  <si>
    <t>E335</t>
  </si>
  <si>
    <t>E336</t>
  </si>
  <si>
    <t>LINE 11 DIVIDED BY LINE 12</t>
  </si>
  <si>
    <t>* Include in the annualized depreciation expense are annualized depreciation and accretion expenses related to ARC and ARO for recoverable in rates.</t>
  </si>
  <si>
    <t>Asset Retirement Costs (Include both Recoverable and Not Recoverable in Rates)</t>
  </si>
  <si>
    <t>Structures &amp; Improvements *</t>
  </si>
  <si>
    <t>Add Assets Retirement Obligations:</t>
  </si>
  <si>
    <t>Balance Sheet Account</t>
  </si>
  <si>
    <t>Assets Retirement Obligations (Recovered in Rates):</t>
  </si>
  <si>
    <t>E317 - 100922 - Colstrip 1 &amp; 2 Ash Pond Capping</t>
  </si>
  <si>
    <t>E317 - 100923 - Colstrip 3 &amp; 4 Ash Pond Capping</t>
  </si>
  <si>
    <t>E317 - 100924 - Shuffleton Harbor Lease</t>
  </si>
  <si>
    <t>PRODUCTION FACTOR= (1-LINE 14)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</si>
  <si>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</si>
  <si>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</si>
  <si>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</si>
  <si>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</si>
  <si>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</si>
  <si>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</si>
  <si>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</si>
  <si>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</si>
  <si>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</si>
  <si>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</si>
  <si>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</si>
  <si>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</si>
  <si>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</si>
  <si>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2007 STORM DAMAGE</t>
  </si>
  <si>
    <t>TOTAL INCREASE (DECREASE) OTHER OPERATING REVENUE</t>
  </si>
  <si>
    <t>TOTAL INCREASE (DECREASE) REVENUES</t>
  </si>
  <si>
    <t>Premiums</t>
  </si>
  <si>
    <t>GRC Rate Year:</t>
  </si>
  <si>
    <t>AMA 12/31/2010</t>
  </si>
  <si>
    <t xml:space="preserve">  DEFERRED DEBITS AND CREDITS</t>
  </si>
  <si>
    <t>POWER COST AND O&amp;M RELATED TO LOWER SNAKE RIVER</t>
  </si>
  <si>
    <t>DEFERRED CARRYING CHARGES (AMA)</t>
  </si>
  <si>
    <t>PROFORMA KWH (COLSTRIP)</t>
  </si>
  <si>
    <t>PROFORMA ENERGY TAX</t>
  </si>
  <si>
    <t>NET WILD HORSE SOLAR PLANT RATEBASE</t>
  </si>
  <si>
    <t>RATEBASE (AMA) UTILITY PLANT RATEBASE</t>
  </si>
  <si>
    <t>ASC 815 OPERATING EXPENSE</t>
  </si>
  <si>
    <t>CHARGED TO EXPENSE  12 MONTHS ENDED 12/31/10</t>
  </si>
  <si>
    <t>DEFERRAL BALANCES BEG OF RY (LINE 22 THROUGH LINE 26)</t>
  </si>
  <si>
    <t>ANNUAL AMORTIZATION (LINE 27 ÷ 48 MONTHS) x 12</t>
  </si>
  <si>
    <t>ANNUAL AMORTIZATION (LINE 35 ÷ 78 (5/2012 - 10/2018) x 12)</t>
  </si>
  <si>
    <t>TOTAL RATE YEAR AMORTIZATION (LINE 29 + LINE 38)</t>
  </si>
  <si>
    <t>LESS TEST YEAR CATASTROPHIC STORM AMORTIZATION</t>
  </si>
  <si>
    <t>ORIGINAL AMORT PERIOD FROM UE-072300 WAS 10 YEARS</t>
  </si>
  <si>
    <t>FROM NOVEMBER 2008 THROUGH OCTOBER 2018</t>
  </si>
  <si>
    <t>TOTAL INCREASE (DECREASE) OPERATING EXPENSE (LINE 16 + LINE 42)</t>
  </si>
  <si>
    <t>INCREASE (DECREASE) FIT @ 35% (LINE 44 X 35%)</t>
  </si>
  <si>
    <t>(NOTE 1) TOTAL AMORTIZATION = $37,532,000 = $14,334,286 TAXABLE PURCHASE PRICE +</t>
  </si>
  <si>
    <t>$16,823,714 NON-TAXABLE PURCHASE PRICE + TAXABLE AFPC $6,374,000.</t>
  </si>
  <si>
    <t>(NOTE 2) THE IMPACT ON THE TAX BENEFIT OF PROFORMA INTEREST IS HANDLED IN</t>
  </si>
  <si>
    <t>PROCEEDS FROM THE SALE OF WHITE RIVER ASSETS TO CWA</t>
  </si>
  <si>
    <t>MINT FARM DEFERRAL - UE-090704</t>
  </si>
  <si>
    <t>WILD HORSE EXPANSION DEFERRAL - UE-090704</t>
  </si>
  <si>
    <t>COLSTRIP 1&amp;2 (WECO) COAL CONTRACT PREPAYMENT</t>
  </si>
  <si>
    <t>MINT FARM DEFERAL - UE-090704 (407.3)</t>
  </si>
  <si>
    <t>WILD HORSE EXPANSION DEFERRAL - UE-090704 (407.3)</t>
  </si>
  <si>
    <t>COLSTRIP 1&amp;2 (WECO) COAL CONTRACT PREPAYMENT (501)</t>
  </si>
  <si>
    <t>CONTRACT MAJOR MAINTENANCE (PROD O&amp;M):</t>
  </si>
  <si>
    <t>TOTAL AMORTIZATION OF REGULATORY ASSETS AND LIABILITIES</t>
  </si>
  <si>
    <t>TOTAL REGULATORY ASSETS AND LIABILITIES RATEBASE</t>
  </si>
  <si>
    <t>PRODUCTION WAGE ADJUSTMENTS AND INCENTIVE:</t>
  </si>
  <si>
    <t>TOTAL WAGE RELATED ADJUSTMENTS</t>
  </si>
  <si>
    <t>AMORTIZATION ON REGULATORY ASSETS:</t>
  </si>
  <si>
    <t>FERC PART 12 NON-CONSTRUCTION STUDY COSTS UE-070074 (407.3)</t>
  </si>
  <si>
    <t>MAJOR MAINTENANCE (SUMMARIZED) (PROD O&amp;M)</t>
  </si>
  <si>
    <t>CHELAN RESERVATION PREPAYMENT (555)</t>
  </si>
  <si>
    <t>DEPRECIABLE PRODUCTION PROPERTY (INCL LSR AND WH SOLAR)</t>
  </si>
  <si>
    <t>PRODUCTION PROPERTY ACCUM DEPR. (INCL LSR AND WH SOLAR)</t>
  </si>
  <si>
    <t>PRODUCTION PROPERTY ACCUM AMORT.</t>
  </si>
  <si>
    <t>NOL DEFERRED TAX ASSET ATTRIBUTABLE TO PRODUCTION</t>
  </si>
  <si>
    <t>TOTAL PRODUCTION PROPERTY RATE BASE</t>
  </si>
  <si>
    <t>FERC PART 12 NON-CONSTRUCTION STUDY COSTS UE-070074</t>
  </si>
  <si>
    <t>MAJOR MAINTENANCE (SUMMARIZED)</t>
  </si>
  <si>
    <t>TOTAL REGULATORY ASSETS AND LIABILITIES RATE BASE</t>
  </si>
  <si>
    <t>TOTAL ADJUSTMENT TO RATEBASE (LINE 73 + LINE 89)</t>
  </si>
  <si>
    <t>Net Power Costs (column c per DEM Exhibit)</t>
  </si>
  <si>
    <t>OTHER OPERATING REVENUES:</t>
  </si>
  <si>
    <t>OPERATING EXPENSES</t>
  </si>
  <si>
    <t>INTEREST EXPENSE AT MOST CURRENT INTEREST RATE</t>
  </si>
  <si>
    <t>DEFERRED LOSSES PENDING APPROVAL SINCE UE-090704</t>
  </si>
  <si>
    <t>DEFERRED GAINS RECORDED FOR UE-090704, et al. at 4/30/2012</t>
  </si>
  <si>
    <t>DEFERRED LOSSES RECORDED FOR UE-090704, et al. at 4/30/2012</t>
  </si>
  <si>
    <t>TOTAL DEFERRED NET GAINS FOR UE-090704, et al. at 4/30/2012</t>
  </si>
  <si>
    <t>DEFERRED GAINS PENDING APPROVAL SINCE UE-090704</t>
  </si>
  <si>
    <t>NET DEFERRED LOSSES PENDING APPROVAL</t>
  </si>
  <si>
    <t>NET GAIN (LINE 3 + LINE 7)</t>
  </si>
  <si>
    <t>ANNUAL AMORTIZATION (LINE 9 ÷ 36 MONHS) x 12 MONTHS</t>
  </si>
  <si>
    <t>REMOVE NON-BUSINESS OR NON-UTILITY RELATED EXPENSES</t>
  </si>
  <si>
    <t>4310 - Other Elec Rev  - Transm MIsc</t>
  </si>
  <si>
    <t>4310 - Elec Trans. Rev  - Ancillary Svc</t>
  </si>
  <si>
    <t>4310 - Generator Imbalance Penalty</t>
  </si>
  <si>
    <t>4310-Imbalance penalty-Port SEA,BPA,WPUD</t>
  </si>
  <si>
    <t>4310-Elec Trans Revenue-SnoPUD Imbalance</t>
  </si>
  <si>
    <t>&gt;</t>
  </si>
  <si>
    <t>LINE</t>
  </si>
  <si>
    <t>INCREASE</t>
  </si>
  <si>
    <t>NET</t>
  </si>
  <si>
    <t>GROSS</t>
  </si>
  <si>
    <t>SALES FOR</t>
  </si>
  <si>
    <t>4/1/09 - 4/1/10</t>
  </si>
  <si>
    <t>7/1/08 - 7/1/09</t>
  </si>
  <si>
    <t>Property Tax Dept</t>
  </si>
  <si>
    <t>Allocation of Property Taxes to Production Property</t>
  </si>
  <si>
    <t>Property Taxes Pro-Forma</t>
  </si>
  <si>
    <t>WRITEOFF'S</t>
  </si>
  <si>
    <t xml:space="preserve">LINE </t>
  </si>
  <si>
    <t>POWER</t>
  </si>
  <si>
    <t>FEDERAL</t>
  </si>
  <si>
    <t>BAD</t>
  </si>
  <si>
    <t>PROPERTY</t>
  </si>
  <si>
    <t xml:space="preserve">INTEREST ON </t>
  </si>
  <si>
    <t>MONTANA</t>
  </si>
  <si>
    <t>SUBTOTAL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</si>
  <si>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</si>
  <si>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</si>
  <si>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</si>
  <si>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</si>
  <si>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</si>
  <si>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</si>
  <si>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</si>
  <si>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</si>
  <si>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Colstrip 500 KV Expense</t>
  </si>
  <si>
    <t>Test Year</t>
  </si>
  <si>
    <t>Steam</t>
  </si>
  <si>
    <t xml:space="preserve">Hydro  </t>
  </si>
  <si>
    <t xml:space="preserve">Other  </t>
  </si>
  <si>
    <t>Resource</t>
  </si>
  <si>
    <t>Colstrip 1/2</t>
  </si>
  <si>
    <t>Colstrip 3/4</t>
  </si>
  <si>
    <t>Encogen</t>
  </si>
  <si>
    <t>Lower Baker</t>
  </si>
  <si>
    <t>Upper Baker</t>
  </si>
  <si>
    <t>Electron</t>
  </si>
  <si>
    <t>White River</t>
  </si>
  <si>
    <t>Crystal</t>
  </si>
  <si>
    <t>DEFERRED FIT</t>
  </si>
  <si>
    <t>Sys Control &amp; Dispatch</t>
  </si>
  <si>
    <t>Adjustments:</t>
  </si>
  <si>
    <t>Total Adjustments</t>
  </si>
  <si>
    <t>DETERMINATION OF ELECTRIC - PRODUCTION RELATED EMPLOYEE BENEFITS AND TAXES</t>
  </si>
  <si>
    <t>Order Group</t>
  </si>
  <si>
    <t>Order Group Subtotal</t>
  </si>
  <si>
    <t xml:space="preserve">REMOVE PCA INCREASE  </t>
  </si>
  <si>
    <t>PRODUCTION O&amp;M</t>
  </si>
  <si>
    <t>TOTAL POWER COST AND PROD O&amp;M</t>
  </si>
  <si>
    <t>INCREASE ( DECREASE ) EXPENSE</t>
  </si>
  <si>
    <t xml:space="preserve">  TWELVE MONTHS ENDED 12/31/08</t>
  </si>
  <si>
    <t>4310-Elec Trans Revenue-SnoPUD Losse</t>
  </si>
  <si>
    <t>4310 - Small Generator App Fees - Elect</t>
  </si>
  <si>
    <t>4310 - Elec Trans Rev-BPA NT OATT-T-Elec</t>
  </si>
  <si>
    <t>4310 -Elec Trans Rev-BPA NT Ded Fac-Elec</t>
  </si>
  <si>
    <t>4310 -Elec Trans Rev-BPA NT Eng Imb-Elec</t>
  </si>
  <si>
    <t>4310 -Elec Trans Rev-BPA NT Anc Svc-Elec</t>
  </si>
  <si>
    <t>4310-Elec Trans Rev-BPA NT OATT-WDS-Elec</t>
  </si>
  <si>
    <t>5360 - Elec Trans Rev.  Losses</t>
  </si>
  <si>
    <t>Mint Farm</t>
  </si>
  <si>
    <t>GOLDENDALE FIXED COSTS DEFERRAL</t>
  </si>
  <si>
    <t>AMORTIZATION OF REGULATORY ASSET/LIABILITY</t>
  </si>
  <si>
    <t>TOTAL RATEBASE</t>
  </si>
  <si>
    <t>4310 -Elec Trans Rev-SeaTac Ded Facility</t>
  </si>
  <si>
    <t>4310-Elec Trans Rev -OASIS-WA(Non GTA)</t>
  </si>
  <si>
    <t>ADJUSTMENT TO OPERATING EXPENSES</t>
  </si>
  <si>
    <t xml:space="preserve">ACTUAL RESUTLS </t>
  </si>
  <si>
    <t>OF OPERATIONS</t>
  </si>
  <si>
    <t>Steam Oper Misc Steam Power</t>
  </si>
  <si>
    <t>Steam Maint Supv &amp; Engineering</t>
  </si>
  <si>
    <t>Steam Maint Structures</t>
  </si>
  <si>
    <t>Steam Maint Boiler Plant</t>
  </si>
  <si>
    <t>Steam Maint Misc Steam Plant</t>
  </si>
  <si>
    <t>Comments</t>
  </si>
  <si>
    <t>ADMIN &amp; GENERAL EXPENSES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</si>
  <si>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</si>
  <si>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</si>
  <si>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</si>
  <si>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</si>
  <si>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</si>
  <si>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</si>
  <si>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</si>
  <si>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</si>
  <si>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Less</t>
  </si>
  <si>
    <t>Less Amort</t>
  </si>
  <si>
    <t>Tax Adjustment GRC Page 15.15</t>
  </si>
  <si>
    <t>of Reg Assets</t>
  </si>
  <si>
    <t>Hopkins Ridge</t>
  </si>
  <si>
    <t>DEFERRED INCOME TAX LIABILITY</t>
  </si>
  <si>
    <t>Total Power Costs</t>
  </si>
  <si>
    <t>Costs for Revenue Requirement</t>
  </si>
  <si>
    <t>Power Costs Provided by Power Cost Analysis Dept.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</si>
  <si>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</si>
  <si>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</si>
  <si>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</si>
  <si>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</si>
  <si>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</si>
  <si>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</si>
  <si>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</si>
  <si>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TAXES</t>
  </si>
  <si>
    <t>PROPERTY SALES</t>
  </si>
  <si>
    <t>WAGE</t>
  </si>
  <si>
    <t>PENSION</t>
  </si>
  <si>
    <t>TOTAL INCENTIVE/MERIT PAY</t>
  </si>
  <si>
    <t>REMOVE SCHEDULE 95A PRODUCTION TAX CREDITS</t>
  </si>
  <si>
    <t>POLE ATTACHMENT REVENUES</t>
  </si>
  <si>
    <t>GREEN POWER - SCH 135/136 (TAGS ELIM IN PAGE 4.03)</t>
  </si>
  <si>
    <t>GREEN POWER - SCH 135/136 BENEFITS PORTION OF ADMIN</t>
  </si>
  <si>
    <t>GREEN POWER - SCH 135/136 TAXES PORTION OF ADMIN</t>
  </si>
  <si>
    <t>GREEN POWER - SCH 135/136 ELIMINATE UNDER EXPENSED</t>
  </si>
  <si>
    <t>Production Wage and Incentive Plan Increase (2)</t>
  </si>
  <si>
    <t>A</t>
  </si>
  <si>
    <t>B</t>
  </si>
  <si>
    <t>COLSTRIP COMMON FERC ADJUSTMENT</t>
  </si>
  <si>
    <t>COLSTRIP DEFERRED DEPRECIATION FERC ADJ.</t>
  </si>
  <si>
    <t>REGULATORY ASSETS RATE BASE:</t>
  </si>
  <si>
    <t>TEST</t>
  </si>
  <si>
    <t>PURCHASED POWER</t>
  </si>
  <si>
    <t>OTHER POWER SUPPLY</t>
  </si>
  <si>
    <t>TAXES OTHER-PRODUCTION PROPERTY:</t>
  </si>
  <si>
    <t>TAX BENEFIT OF PRO</t>
  </si>
  <si>
    <t>FORMA INTEREST</t>
  </si>
  <si>
    <t>FEDERAL INCOME TAX EXPENSE (BENEFIT) @</t>
  </si>
  <si>
    <t>Steam Oper Rents</t>
  </si>
  <si>
    <t>Hydro Oper Rents</t>
  </si>
  <si>
    <t>Other Pwr Gen Oper Rents</t>
  </si>
  <si>
    <t>SERP PLAN</t>
  </si>
  <si>
    <t>Difference</t>
  </si>
  <si>
    <t>DEPRECIATION</t>
  </si>
  <si>
    <t>PUGET SOUND ENERGY</t>
  </si>
  <si>
    <t>Description</t>
  </si>
  <si>
    <t>SUBTOTAL PURCHASED AND INTERCHANGED</t>
  </si>
  <si>
    <t>Total Utility Plant</t>
  </si>
  <si>
    <t>(F)</t>
  </si>
  <si>
    <t>Northern Intertie</t>
  </si>
  <si>
    <t>(G)</t>
  </si>
  <si>
    <t>Production Plant %</t>
  </si>
  <si>
    <t>(F) / (E)</t>
  </si>
  <si>
    <t>Northern Intertie %</t>
  </si>
  <si>
    <t>(H)</t>
  </si>
  <si>
    <t>Less MT Beneficial Use</t>
  </si>
  <si>
    <t>(I)</t>
  </si>
  <si>
    <t>Property taxes on Prod Plant</t>
  </si>
  <si>
    <t>(G) X (H)</t>
  </si>
  <si>
    <t>Property Tax on Transmission</t>
  </si>
  <si>
    <t>3rd AC</t>
  </si>
  <si>
    <t>Colstrip</t>
  </si>
  <si>
    <t>Other</t>
  </si>
  <si>
    <t xml:space="preserve">               Property taxes on PSE property distribution: </t>
  </si>
  <si>
    <r>
      <t xml:space="preserve">TEST YEAR </t>
    </r>
    <r>
      <rPr>
        <u/>
        <sz val="10"/>
        <rFont val="Times New Roman"/>
        <family val="1"/>
      </rPr>
      <t>BILLED</t>
    </r>
    <r>
      <rPr>
        <sz val="10"/>
        <rFont val="Times New Roman"/>
        <family val="1"/>
      </rPr>
      <t xml:space="preserve"> LOAD</t>
    </r>
  </si>
  <si>
    <r>
      <t>CHANGE IN UNBILLED KWHS (</t>
    </r>
    <r>
      <rPr>
        <i/>
        <sz val="10"/>
        <rFont val="Times New Roman"/>
        <family val="1"/>
      </rPr>
      <t>postive for the period</t>
    </r>
    <r>
      <rPr>
        <sz val="10"/>
        <rFont val="Times New Roman"/>
        <family val="1"/>
      </rPr>
      <t>)</t>
    </r>
  </si>
  <si>
    <r>
      <t>ADJUSTMENTS (</t>
    </r>
    <r>
      <rPr>
        <i/>
        <sz val="10"/>
        <rFont val="Times New Roman"/>
        <family val="1"/>
      </rPr>
      <t>agrees to Sales of Electricity Report- Total Retail Sales</t>
    </r>
    <r>
      <rPr>
        <sz val="10"/>
        <rFont val="Times New Roman"/>
        <family val="1"/>
      </rPr>
      <t>)</t>
    </r>
  </si>
  <si>
    <r>
      <t>PROFORMA ADJUSTMENTS (</t>
    </r>
    <r>
      <rPr>
        <i/>
        <sz val="10"/>
        <rFont val="Times New Roman"/>
        <family val="1"/>
      </rPr>
      <t>temp norm</t>
    </r>
    <r>
      <rPr>
        <sz val="10"/>
        <rFont val="Times New Roman"/>
        <family val="1"/>
      </rPr>
      <t>)</t>
    </r>
  </si>
  <si>
    <r>
      <t xml:space="preserve">TOTAL ADJUSTED TEST YEAR </t>
    </r>
    <r>
      <rPr>
        <u/>
        <sz val="10"/>
        <rFont val="Times New Roman"/>
        <family val="1"/>
      </rPr>
      <t>DELIVERED</t>
    </r>
    <r>
      <rPr>
        <sz val="10"/>
        <rFont val="Times New Roman"/>
        <family val="1"/>
      </rPr>
      <t xml:space="preserve"> LOAD</t>
    </r>
  </si>
  <si>
    <t>LSR</t>
  </si>
  <si>
    <t>DEFERRAL</t>
  </si>
  <si>
    <t>Adj No</t>
  </si>
  <si>
    <t>Rev Req</t>
  </si>
  <si>
    <t>PSE Rebuttal</t>
  </si>
  <si>
    <t>Staff Response Filing</t>
  </si>
  <si>
    <t>Actual Results of Operations</t>
  </si>
  <si>
    <t>Mt Electric Energy Tax</t>
  </si>
  <si>
    <t>Wild Horse  Solar</t>
  </si>
  <si>
    <t>Storm Damage</t>
  </si>
  <si>
    <t>Remove Tenaska</t>
  </si>
  <si>
    <t>Chelan Payments</t>
  </si>
  <si>
    <t>Temperature Normalization</t>
  </si>
  <si>
    <t>Revenues &amp; Expenses</t>
  </si>
  <si>
    <t>Pass-Through Revs. &amp; Exps.</t>
  </si>
  <si>
    <t>Operating Expenses</t>
  </si>
  <si>
    <t>General Plant Depreciation</t>
  </si>
  <si>
    <t>Normalize Inj &amp; Dmgs</t>
  </si>
  <si>
    <t>Bad Debts</t>
  </si>
  <si>
    <t>Incentive Pay</t>
  </si>
  <si>
    <t>Property Taxes</t>
  </si>
  <si>
    <t>Excise Tax &amp; Filing Fee</t>
  </si>
  <si>
    <t>D&amp;O Insurance</t>
  </si>
  <si>
    <t>Rate Case Expenses</t>
  </si>
  <si>
    <t>Property &amp; Liability Ins</t>
  </si>
  <si>
    <t>Pension Plan</t>
  </si>
  <si>
    <t>Wage Increase</t>
  </si>
  <si>
    <t>Working Capital</t>
  </si>
  <si>
    <t>Asc 815 (Prev. SFAS 133)</t>
  </si>
  <si>
    <t>Regulatory Assets and Liabilities</t>
  </si>
  <si>
    <t>LSR Deferral</t>
  </si>
  <si>
    <t>Tax Benefit of Pro Forma Interest</t>
  </si>
  <si>
    <t>Interest on Cust Deposits</t>
  </si>
  <si>
    <t>Deferred G/L on Property Sales</t>
  </si>
  <si>
    <t>Total Adjustment</t>
  </si>
  <si>
    <t>Adjusted Results of Operations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</si>
  <si>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</si>
  <si>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</si>
  <si>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</si>
  <si>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</si>
  <si>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</si>
  <si>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</si>
  <si>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</si>
  <si>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</si>
  <si>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</si>
  <si>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LSR Ppd Transm Dep</t>
  </si>
  <si>
    <t>REC Liability</t>
  </si>
  <si>
    <t>Included in DEM</t>
  </si>
  <si>
    <t>Exhibit</t>
  </si>
  <si>
    <t>Exhibit No. ___ (JHS-19)</t>
  </si>
  <si>
    <t>Page 19.02</t>
  </si>
  <si>
    <t>Page 19.03</t>
  </si>
  <si>
    <t>Page 19.04</t>
  </si>
  <si>
    <t>Page 19.05</t>
  </si>
  <si>
    <t>PAGE 19.01</t>
  </si>
  <si>
    <t>Exhibit No.    (JHS-20)</t>
  </si>
  <si>
    <t>Exhibit No.     (JHS-21)</t>
  </si>
  <si>
    <t>Exhibit No. ___   (JHS-22)</t>
  </si>
  <si>
    <t>20.02E</t>
  </si>
  <si>
    <t>20.03E</t>
  </si>
  <si>
    <t>20.09E</t>
  </si>
  <si>
    <t>20.10E</t>
  </si>
  <si>
    <t>Jackson Prairie Storage Agreement - PSEG &amp; PSEE</t>
  </si>
  <si>
    <t>WORKING</t>
  </si>
  <si>
    <t>WORKING CAPITAL</t>
  </si>
  <si>
    <t>ALLOWANCE FOR WORKING CAPITAL</t>
  </si>
  <si>
    <t xml:space="preserve">PUGET SOUND ENERGY-ELECTRIC </t>
  </si>
  <si>
    <t>Staff &gt; PSE / (Staff &lt; PSE)</t>
  </si>
  <si>
    <t>Contested</t>
  </si>
  <si>
    <t>(l)</t>
  </si>
  <si>
    <t>456-Subaccounts 00012, 18, 35, 36</t>
  </si>
  <si>
    <t>LOWER SNAKE RIVER PREPAID TRANS PRINCIPAL BAL. (565)</t>
  </si>
  <si>
    <t>Net of Prod.</t>
  </si>
  <si>
    <t>( C) = (A)+(B)</t>
  </si>
  <si>
    <t>LOWER SNAKE RIVER AMORTIZATION</t>
  </si>
  <si>
    <t>NEW</t>
  </si>
  <si>
    <t>CARRYING CHARGES ON LSR PREPAID TRANS DEPOSITS (407.3)</t>
  </si>
  <si>
    <t>Prod O&amp;M</t>
  </si>
  <si>
    <t>WHITE RIVER RELICENSING &amp; CWIP (Not Yet Amortizing)</t>
  </si>
  <si>
    <t>LSR PREPAID TRANSM DEPOSIT PRINCIPAL AMORTIZATON (565)</t>
  </si>
  <si>
    <t>565</t>
  </si>
  <si>
    <t>LSR DEFERRAL AMORTIZATION (407.3)</t>
  </si>
  <si>
    <t>Exhibit No. ___ (JHS-25)</t>
  </si>
  <si>
    <t>DEM-Exhibit</t>
  </si>
  <si>
    <t>JHS 20.02</t>
  </si>
  <si>
    <t>JHS 20.03</t>
  </si>
  <si>
    <r>
      <t xml:space="preserve">LOWER SNAKE RIVER PREPAID TRANSMISSION DEPOSIT (565) </t>
    </r>
    <r>
      <rPr>
        <b/>
        <i/>
        <sz val="10"/>
        <rFont val="Times New Roman"/>
        <family val="1"/>
      </rPr>
      <t>(NEW)</t>
    </r>
  </si>
  <si>
    <r>
      <t xml:space="preserve">LOWER SNAKE RIVER DEFERRAL (407.3) </t>
    </r>
    <r>
      <rPr>
        <b/>
        <i/>
        <sz val="10"/>
        <rFont val="Times New Roman"/>
        <family val="1"/>
      </rPr>
      <t>(NEW)</t>
    </r>
  </si>
  <si>
    <r>
      <t xml:space="preserve">LOWER SNAKE RIVER DEFERRAL </t>
    </r>
    <r>
      <rPr>
        <b/>
        <i/>
        <sz val="10"/>
        <rFont val="Times New Roman"/>
        <family val="1"/>
      </rPr>
      <t>(NEW)</t>
    </r>
  </si>
  <si>
    <t>( NEW )</t>
  </si>
  <si>
    <t>PROFORMA INTEREST IS CALCULATED IN ADJUSTMENT 21.05</t>
  </si>
  <si>
    <t>WRITE-OFF'S</t>
  </si>
  <si>
    <t>Exhibit No. ___(JHS-20)</t>
  </si>
  <si>
    <t>Page 20.01 (A)</t>
  </si>
  <si>
    <t>Exhibit No. ___(JHS-23)</t>
  </si>
  <si>
    <t>Page 2 of 12</t>
  </si>
  <si>
    <t>Exhibit No. ___(JHS-25)</t>
  </si>
  <si>
    <t>Page 3 of 12</t>
  </si>
  <si>
    <t>Page 4 of 12</t>
  </si>
  <si>
    <t>Exhibit A-3 Colstrip Fixed Costs (2 of 2)</t>
  </si>
  <si>
    <t>Exhibit A-3 Colstrip Fixed Costs (1 of 2)</t>
  </si>
  <si>
    <t>Exhibit A-4 Production Adjustment (1 of 2)</t>
  </si>
  <si>
    <t>Exhibit A-4 Production Adjustment (2 of 2)</t>
  </si>
  <si>
    <t>Page 5 of 12</t>
  </si>
  <si>
    <t>Page 6 of 12</t>
  </si>
  <si>
    <t>Settled</t>
  </si>
  <si>
    <t>Surface Water Management</t>
  </si>
  <si>
    <t>Non-Operating Property</t>
  </si>
  <si>
    <t>Locally Ased Non Operating Taxes</t>
  </si>
  <si>
    <t xml:space="preserve">Major </t>
  </si>
  <si>
    <t>Updates</t>
  </si>
  <si>
    <t>Maint BR 24</t>
  </si>
  <si>
    <t>BR 24 Major Maint adjustment'</t>
  </si>
  <si>
    <t>Undistrib/Other Including Incentive Clearing, Compliance/BR 24</t>
  </si>
  <si>
    <r>
      <t xml:space="preserve">Updated Gas Price date: </t>
    </r>
    <r>
      <rPr>
        <b/>
        <sz val="12"/>
        <color rgb="FFFF0000"/>
        <rFont val="Times New Roman"/>
        <family val="1"/>
      </rPr>
      <t>4/25/12</t>
    </r>
  </si>
  <si>
    <t>Add / Remove amounts not in / in BR 24 Att A</t>
  </si>
  <si>
    <t>Per BR 24 Att A</t>
  </si>
  <si>
    <t>TAXABLE INCOME (LOSS)  (NOTE 1)</t>
  </si>
  <si>
    <t>DECREASE RATE BASE FOR REPAIRS/RET.</t>
  </si>
  <si>
    <t>Twelve Months ended December 2010</t>
  </si>
  <si>
    <t>Twelve Months ended December 2008</t>
  </si>
  <si>
    <t>Summary - Rate Spread</t>
  </si>
  <si>
    <t>Line No.</t>
  </si>
  <si>
    <t>Voltage Level</t>
  </si>
  <si>
    <t>Schedule</t>
  </si>
  <si>
    <t>kWh</t>
  </si>
  <si>
    <t>Proforma
Revenue</t>
  </si>
  <si>
    <t>Percent of Total w/o Schedule 40</t>
  </si>
  <si>
    <t>Percent of Uniform Increase</t>
  </si>
  <si>
    <t>Proposed Revenue Increase (%)</t>
  </si>
  <si>
    <t>Proposed
Revenue
Increase
($)</t>
  </si>
  <si>
    <t>Proposed
Revenue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</si>
  <si>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</si>
  <si>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</si>
  <si>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</si>
  <si>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</si>
  <si>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</si>
  <si>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</si>
  <si>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</si>
  <si>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</si>
  <si>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</si>
  <si>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</si>
  <si>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</si>
  <si>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26 / 26P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</si>
  <si>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</si>
  <si>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</si>
  <si>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</si>
  <si>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</si>
  <si>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</si>
  <si>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</si>
  <si>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</si>
  <si>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</si>
  <si>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</si>
  <si>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</si>
  <si>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448 / 449</t>
  </si>
  <si>
    <t>Lighting</t>
  </si>
  <si>
    <t>50-59</t>
  </si>
  <si>
    <t>Total Jurisdictional Retail Sales</t>
  </si>
  <si>
    <t>Firm Resale / Special Contract</t>
  </si>
  <si>
    <t>Total Sales</t>
  </si>
  <si>
    <t>Average Increase Before Schedule 40, Firm Resale + Special Contract</t>
  </si>
  <si>
    <t>Average Increase After Schedule 40, Firm Resale + Special Contract</t>
  </si>
  <si>
    <t>Adjustment to Average Increase for Unequal Allocation of Increase</t>
  </si>
  <si>
    <t>Average Increase After Schedule 40, Firm Resale + Special Contract adjusted for Unequal Allocation of Increase</t>
  </si>
  <si>
    <t>Compliance
Proposed
Increase</t>
  </si>
  <si>
    <t>Proforma and Proposed Revenue</t>
  </si>
  <si>
    <t>Test Year Twelve Months ended December 2010</t>
  </si>
  <si>
    <t>Firm Resale</t>
  </si>
  <si>
    <t>Proposed</t>
  </si>
  <si>
    <t>Bill Determinants</t>
  </si>
  <si>
    <t>Differences</t>
  </si>
  <si>
    <t>No.</t>
  </si>
  <si>
    <t>Weather</t>
  </si>
  <si>
    <t>Charge</t>
  </si>
  <si>
    <t>$</t>
  </si>
  <si>
    <t>%</t>
  </si>
  <si>
    <t>Total kWh Energy</t>
  </si>
  <si>
    <t>Total kW Demand</t>
  </si>
  <si>
    <t>Total kVarh Reactive Power</t>
  </si>
  <si>
    <t>Total Revenue</t>
  </si>
  <si>
    <t>SPECIAL CONTRACTS</t>
  </si>
  <si>
    <t>Total Other</t>
  </si>
  <si>
    <t>As Filed in Compliance Filing</t>
  </si>
  <si>
    <t>Vantage  OATT Wind Integration Revenue</t>
  </si>
  <si>
    <t xml:space="preserve"> - </t>
  </si>
  <si>
    <t>As Filed in UE-111048 Compliance Filing on May 15, 2012</t>
  </si>
  <si>
    <t>PCA Exhibits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</si>
</sst>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* #,##0.0000_);_(* \(#,##0.0000\);_(* &quot;-&quot;_);_(@_)"/>
    <numFmt numFmtId="179" formatCode="#,##0.00000_);[Red]\(#,##0.00000\)"/>
    <numFmt numFmtId="180" formatCode="_(* #,##0.00000_);_(* \(#,##0.00000\);_(* &quot;-&quot;??_);_(@_)"/>
    <numFmt numFmtId="181" formatCode="_(&quot;$&quot;* #,##0.000_);_(&quot;$&quot;* \(#,##0.000\);_(&quot;$&quot;* &quot;-&quot;??_);_(@_)"/>
    <numFmt numFmtId="182" formatCode="_(&quot;$&quot;* #,##0.000000_);_(&quot;$&quot;* \(#,##0.000000\);_(&quot;$&quot;* &quot;-&quot;??????_);_(@_)"/>
    <numFmt numFmtId="183" formatCode="0.000000"/>
    <numFmt numFmtId="184" formatCode="_(* #,##0.0_);_(* \(#,##0.0\);_(* &quot;-&quot;_);_(@_)"/>
    <numFmt numFmtId="185" formatCode="_(* ###0_);_(* \(###0\);_(* &quot;-&quot;_);_(@_)"/>
    <numFmt numFmtId="186" formatCode="0;[Red]0"/>
    <numFmt numFmtId="187" formatCode="0_);\(0\)"/>
    <numFmt numFmtId="188" formatCode="0.00000%"/>
    <numFmt numFmtId="189" formatCode="&quot;PAGE&quot;\ 0.00"/>
    <numFmt numFmtId="190" formatCode="d\.mmm\.yy"/>
    <numFmt numFmtId="191" formatCode="#."/>
    <numFmt numFmtId="192" formatCode="_(&quot;$&quot;* #,##0.0000_);_(&quot;$&quot;* \(#,##0.0000\);_(&quot;$&quot;* &quot;-&quot;????_);_(@_)"/>
    <numFmt numFmtId="193" formatCode="&quot;$&quot;#,##0.00"/>
    <numFmt numFmtId="194" formatCode="_(* #,##0.00_);_(* \(#,##0.00\);_(* &quot;-&quot;_);_(@_)"/>
    <numFmt numFmtId="195" formatCode="&quot;$&quot;#,##0;\-&quot;$&quot;#,##0"/>
    <numFmt numFmtId="196" formatCode="0.000000000"/>
    <numFmt numFmtId="197" formatCode="_([$€-2]* #,##0.00_);_([$€-2]* \(#,##0.00\);_([$€-2]* &quot;-&quot;??_)"/>
    <numFmt numFmtId="198" formatCode="0000000"/>
    <numFmt numFmtId="199" formatCode="[$-409]d\-mmm\-yy;@"/>
    <numFmt numFmtId="200" formatCode="[$-409]mmm\-yy;@"/>
    <numFmt numFmtId="201" formatCode="_(* #,##0.000000_);_(* \(#,##0.000000\);_(* &quot;-&quot;??????_);_(@_)"/>
    <numFmt numFmtId="202" formatCode="_(* #,##0.00000_);_(* \(#,##0.00000\);_(* &quot;-&quot;?????_);_(@_)"/>
    <numFmt numFmtId="203" formatCode="_(&quot;$&quot;* #,##0.000_);_(&quot;$&quot;* \(#,##0.000\);_(&quot;$&quot;* &quot;-&quot;???_);_(@_)"/>
    <numFmt numFmtId="204" formatCode="_(* #,##0.000_);_(* \(#,##0.000\);_(* &quot;-&quot;???_);_(@_)"/>
    <numFmt numFmtId="205" formatCode="_(* #,##0.000000_);_(* \(#,##0.000000\);_(* &quot;-&quot;????????_);_(@_)"/>
    <numFmt numFmtId="206" formatCode="0.00_)"/>
    <numFmt numFmtId="207" formatCode="mmm\-yyyy"/>
    <numFmt numFmtId="208" formatCode="_-* #,##0.00\ &quot;DM&quot;_-;\-* #,##0.00\ &quot;DM&quot;_-;_-* &quot;-&quot;??\ &quot;DM&quot;_-;_-@_-"/>
    <numFmt numFmtId="209" formatCode="_(&quot;$&quot;* #,##0.000000_);_(&quot;$&quot;* \(#,##0.000000\);_(&quot;$&quot;* &quot;-&quot;??_);_(@_)"/>
    <numFmt numFmtId="210" formatCode="_(&quot;$&quot;* #,##0.00000_);_(&quot;$&quot;* \(#,##0.00000\);_(&quot;$&quot;* &quot;-&quot;??_);_(@_)"/>
  </numFmts>
  <fonts count="17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i/>
      <u/>
      <sz val="10"/>
      <name val="Arial"/>
      <family val="2"/>
    </font>
    <font>
      <sz val="10"/>
      <name val="Helv"/>
    </font>
    <font>
      <sz val="10"/>
      <name val="Tms Rmn"/>
    </font>
    <font>
      <sz val="8.8000000000000007"/>
      <name val="Symbol"/>
      <family val="1"/>
      <charset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b/>
      <sz val="8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8"/>
      <name val="Helv"/>
    </font>
    <font>
      <sz val="12"/>
      <name val="Times New Roman"/>
      <family val="1"/>
    </font>
    <font>
      <sz val="12"/>
      <color indexed="10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2"/>
      <name val="Helv"/>
    </font>
    <font>
      <b/>
      <i/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774">
    <xf numFmtId="183" fontId="0" fillId="0" borderId="0">
      <alignment horizontal="left" wrapText="1"/>
    </xf>
    <xf numFmtId="0" fontId="65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8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80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80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80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0" fontId="80" fillId="0" borderId="0"/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61" fillId="0" borderId="0"/>
    <xf numFmtId="0" fontId="6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65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8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7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7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7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0" fontId="61" fillId="0" borderId="0"/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8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69" fontId="65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80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80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65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65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65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0" fontId="6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80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8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80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61" fillId="0" borderId="0"/>
    <xf numFmtId="0" fontId="120" fillId="64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120" fillId="6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20" fillId="6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20" fillId="67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20" fillId="68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20" fillId="69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20" fillId="70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20" fillId="71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120" fillId="72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20" fillId="7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20" fillId="74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20" fillId="75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121" fillId="76" borderId="0" applyNumberFormat="0" applyBorder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21" fillId="77" borderId="0" applyNumberFormat="0" applyBorder="0" applyAlignment="0" applyProtection="0"/>
    <xf numFmtId="0" fontId="82" fillId="13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21" fillId="78" borderId="0" applyNumberFormat="0" applyBorder="0" applyAlignment="0" applyProtection="0"/>
    <xf numFmtId="0" fontId="82" fillId="11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121" fillId="79" borderId="0" applyNumberFormat="0" applyBorder="0" applyAlignment="0" applyProtection="0"/>
    <xf numFmtId="0" fontId="82" fillId="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21" fillId="80" borderId="0" applyNumberFormat="0" applyBorder="0" applyAlignment="0" applyProtection="0"/>
    <xf numFmtId="0" fontId="82" fillId="6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21" fillId="81" borderId="0" applyNumberFormat="0" applyBorder="0" applyAlignment="0" applyProtection="0"/>
    <xf numFmtId="0" fontId="82" fillId="9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21" fillId="82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121" fillId="8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13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121" fillId="84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11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21" fillId="8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21" fillId="86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21" fillId="87" borderId="0" applyNumberFormat="0" applyBorder="0" applyAlignment="0" applyProtection="0"/>
    <xf numFmtId="0" fontId="68" fillId="31" borderId="0" applyNumberFormat="0" applyBorder="0" applyAlignment="0" applyProtection="0"/>
    <xf numFmtId="0" fontId="68" fillId="24" borderId="0" applyNumberFormat="0" applyBorder="0" applyAlignment="0" applyProtection="0"/>
    <xf numFmtId="0" fontId="82" fillId="32" borderId="0" applyNumberFormat="0" applyBorder="0" applyAlignment="0" applyProtection="0"/>
    <xf numFmtId="0" fontId="82" fillId="2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22" fillId="88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190" fontId="23" fillId="0" borderId="0" applyFill="0" applyBorder="0" applyAlignment="0"/>
    <xf numFmtId="190" fontId="23" fillId="0" borderId="0" applyFill="0" applyBorder="0" applyAlignment="0"/>
    <xf numFmtId="41" fontId="13" fillId="33" borderId="0"/>
    <xf numFmtId="0" fontId="123" fillId="89" borderId="53" applyNumberFormat="0" applyAlignment="0" applyProtection="0"/>
    <xf numFmtId="0" fontId="94" fillId="34" borderId="1" applyNumberFormat="0" applyAlignment="0" applyProtection="0"/>
    <xf numFmtId="41" fontId="13" fillId="33" borderId="0"/>
    <xf numFmtId="0" fontId="123" fillId="89" borderId="53" applyNumberFormat="0" applyAlignment="0" applyProtection="0"/>
    <xf numFmtId="41" fontId="13" fillId="33" borderId="0"/>
    <xf numFmtId="41" fontId="13" fillId="33" borderId="0"/>
    <xf numFmtId="0" fontId="124" fillId="90" borderId="54" applyNumberFormat="0" applyAlignment="0" applyProtection="0"/>
    <xf numFmtId="0" fontId="84" fillId="35" borderId="2" applyNumberFormat="0" applyAlignment="0" applyProtection="0"/>
    <xf numFmtId="0" fontId="84" fillId="35" borderId="2" applyNumberFormat="0" applyAlignment="0" applyProtection="0"/>
    <xf numFmtId="0" fontId="84" fillId="35" borderId="2" applyNumberFormat="0" applyAlignment="0" applyProtection="0"/>
    <xf numFmtId="41" fontId="18" fillId="36" borderId="0"/>
    <xf numFmtId="41" fontId="13" fillId="36" borderId="0"/>
    <xf numFmtId="41" fontId="13" fillId="36" borderId="0"/>
    <xf numFmtId="41" fontId="13" fillId="36" borderId="0"/>
    <xf numFmtId="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2" fillId="0" borderId="0"/>
    <xf numFmtId="0" fontId="42" fillId="0" borderId="0"/>
    <xf numFmtId="0" fontId="54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0" fillId="0" borderId="0" applyFont="0" applyFill="0" applyBorder="0" applyAlignment="0" applyProtection="0"/>
    <xf numFmtId="191" fontId="55" fillId="0" borderId="0">
      <protection locked="0"/>
    </xf>
    <xf numFmtId="0" fontId="54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2" fillId="0" borderId="0"/>
    <xf numFmtId="0" fontId="54" fillId="0" borderId="0"/>
    <xf numFmtId="0" fontId="42" fillId="0" borderId="0"/>
    <xf numFmtId="0" fontId="54" fillId="0" borderId="0"/>
    <xf numFmtId="8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0" fontId="1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42" fillId="0" borderId="0"/>
    <xf numFmtId="0" fontId="126" fillId="91" borderId="0" applyNumberFormat="0" applyBorder="0" applyAlignment="0" applyProtection="0"/>
    <xf numFmtId="0" fontId="86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38" fontId="3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0" fontId="47" fillId="0" borderId="3" applyNumberFormat="0" applyAlignment="0" applyProtection="0">
      <alignment horizontal="left"/>
    </xf>
    <xf numFmtId="0" fontId="31" fillId="0" borderId="3" applyNumberFormat="0" applyAlignment="0" applyProtection="0">
      <alignment horizontal="left"/>
    </xf>
    <xf numFmtId="0" fontId="31" fillId="0" borderId="3" applyNumberFormat="0" applyAlignment="0" applyProtection="0">
      <alignment horizontal="left"/>
    </xf>
    <xf numFmtId="0" fontId="31" fillId="0" borderId="3" applyNumberFormat="0" applyAlignment="0" applyProtection="0">
      <alignment horizontal="left"/>
    </xf>
    <xf numFmtId="0" fontId="47" fillId="0" borderId="4">
      <alignment horizontal="left"/>
    </xf>
    <xf numFmtId="0" fontId="31" fillId="0" borderId="4">
      <alignment horizontal="left"/>
    </xf>
    <xf numFmtId="0" fontId="31" fillId="0" borderId="4">
      <alignment horizontal="left"/>
    </xf>
    <xf numFmtId="0" fontId="31" fillId="0" borderId="4">
      <alignment horizontal="left"/>
    </xf>
    <xf numFmtId="0" fontId="40" fillId="0" borderId="0" applyNumberFormat="0" applyFill="0" applyBorder="0" applyAlignment="0" applyProtection="0"/>
    <xf numFmtId="0" fontId="127" fillId="0" borderId="55" applyNumberFormat="0" applyFill="0" applyAlignment="0" applyProtection="0"/>
    <xf numFmtId="0" fontId="95" fillId="0" borderId="5" applyNumberFormat="0" applyFill="0" applyAlignment="0" applyProtection="0"/>
    <xf numFmtId="0" fontId="127" fillId="0" borderId="5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8" fillId="0" borderId="56" applyNumberFormat="0" applyFill="0" applyAlignment="0" applyProtection="0"/>
    <xf numFmtId="0" fontId="96" fillId="0" borderId="6" applyNumberFormat="0" applyFill="0" applyAlignment="0" applyProtection="0"/>
    <xf numFmtId="0" fontId="128" fillId="0" borderId="56" applyNumberFormat="0" applyFill="0" applyAlignment="0" applyProtection="0"/>
    <xf numFmtId="0" fontId="40" fillId="0" borderId="0" applyNumberFormat="0" applyFill="0" applyBorder="0" applyAlignment="0" applyProtection="0"/>
    <xf numFmtId="0" fontId="129" fillId="0" borderId="57" applyNumberFormat="0" applyFill="0" applyAlignment="0" applyProtection="0"/>
    <xf numFmtId="0" fontId="113" fillId="0" borderId="8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8" fontId="37" fillId="0" borderId="0"/>
    <xf numFmtId="38" fontId="37" fillId="0" borderId="0"/>
    <xf numFmtId="38" fontId="37" fillId="0" borderId="0"/>
    <xf numFmtId="40" fontId="37" fillId="0" borderId="0"/>
    <xf numFmtId="40" fontId="37" fillId="0" borderId="0"/>
    <xf numFmtId="40" fontId="37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30" fillId="92" borderId="53" applyNumberFormat="0" applyAlignment="0" applyProtection="0"/>
    <xf numFmtId="10" fontId="36" fillId="33" borderId="9" applyNumberFormat="0" applyBorder="0" applyAlignment="0" applyProtection="0"/>
    <xf numFmtId="10" fontId="16" fillId="33" borderId="9" applyNumberFormat="0" applyBorder="0" applyAlignment="0" applyProtection="0"/>
    <xf numFmtId="10" fontId="16" fillId="33" borderId="9" applyNumberFormat="0" applyBorder="0" applyAlignment="0" applyProtection="0"/>
    <xf numFmtId="10" fontId="16" fillId="33" borderId="9" applyNumberFormat="0" applyBorder="0" applyAlignment="0" applyProtection="0"/>
    <xf numFmtId="10" fontId="16" fillId="33" borderId="9" applyNumberFormat="0" applyBorder="0" applyAlignment="0" applyProtection="0"/>
    <xf numFmtId="10" fontId="16" fillId="33" borderId="9" applyNumberFormat="0" applyBorder="0" applyAlignment="0" applyProtection="0"/>
    <xf numFmtId="0" fontId="88" fillId="7" borderId="1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88" fillId="7" borderId="1" applyNumberFormat="0" applyAlignment="0" applyProtection="0"/>
    <xf numFmtId="0" fontId="88" fillId="7" borderId="1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88" fillId="40" borderId="1" applyNumberFormat="0" applyAlignment="0" applyProtection="0"/>
    <xf numFmtId="0" fontId="88" fillId="7" borderId="1" applyNumberFormat="0" applyAlignment="0" applyProtection="0"/>
    <xf numFmtId="0" fontId="88" fillId="40" borderId="1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0" fontId="130" fillId="92" borderId="53" applyNumberFormat="0" applyAlignment="0" applyProtection="0"/>
    <xf numFmtId="41" fontId="30" fillId="41" borderId="10">
      <alignment horizontal="left"/>
      <protection locked="0"/>
    </xf>
    <xf numFmtId="41" fontId="30" fillId="41" borderId="10">
      <alignment horizontal="left"/>
      <protection locked="0"/>
    </xf>
    <xf numFmtId="10" fontId="30" fillId="41" borderId="10">
      <alignment horizontal="right"/>
      <protection locked="0"/>
    </xf>
    <xf numFmtId="10" fontId="30" fillId="41" borderId="10">
      <alignment horizontal="right"/>
      <protection locked="0"/>
    </xf>
    <xf numFmtId="10" fontId="30" fillId="41" borderId="10">
      <alignment horizontal="right"/>
      <protection locked="0"/>
    </xf>
    <xf numFmtId="41" fontId="30" fillId="41" borderId="10">
      <alignment horizontal="left"/>
      <protection locked="0"/>
    </xf>
    <xf numFmtId="0" fontId="16" fillId="36" borderId="0"/>
    <xf numFmtId="0" fontId="16" fillId="36" borderId="0"/>
    <xf numFmtId="3" fontId="56" fillId="0" borderId="0" applyFill="0" applyBorder="0" applyAlignment="0" applyProtection="0"/>
    <xf numFmtId="3" fontId="56" fillId="0" borderId="0" applyFill="0" applyBorder="0" applyAlignment="0" applyProtection="0"/>
    <xf numFmtId="0" fontId="131" fillId="0" borderId="58" applyNumberFormat="0" applyFill="0" applyAlignment="0" applyProtection="0"/>
    <xf numFmtId="0" fontId="93" fillId="0" borderId="12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44" fontId="39" fillId="0" borderId="13" applyNumberFormat="0" applyFont="0" applyAlignment="0">
      <alignment horizontal="center"/>
    </xf>
    <xf numFmtId="44" fontId="21" fillId="0" borderId="13" applyNumberFormat="0" applyFont="0" applyAlignment="0">
      <alignment horizontal="center"/>
    </xf>
    <xf numFmtId="44" fontId="21" fillId="0" borderId="13" applyNumberFormat="0" applyFont="0" applyAlignment="0">
      <alignment horizontal="center"/>
    </xf>
    <xf numFmtId="44" fontId="21" fillId="0" borderId="13" applyNumberFormat="0" applyFont="0" applyAlignment="0">
      <alignment horizontal="center"/>
    </xf>
    <xf numFmtId="44" fontId="21" fillId="0" borderId="13" applyNumberFormat="0" applyFont="0" applyAlignment="0">
      <alignment horizontal="center"/>
    </xf>
    <xf numFmtId="44" fontId="21" fillId="0" borderId="13" applyNumberFormat="0" applyFont="0" applyAlignment="0">
      <alignment horizontal="center"/>
    </xf>
    <xf numFmtId="44" fontId="39" fillId="0" borderId="14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0" fontId="132" fillId="93" borderId="0" applyNumberFormat="0" applyBorder="0" applyAlignment="0" applyProtection="0"/>
    <xf numFmtId="0" fontId="115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37" fontId="48" fillId="0" borderId="0"/>
    <xf numFmtId="37" fontId="48" fillId="0" borderId="0"/>
    <xf numFmtId="182" fontId="17" fillId="0" borderId="0"/>
    <xf numFmtId="195" fontId="13" fillId="0" borderId="0"/>
    <xf numFmtId="195" fontId="13" fillId="0" borderId="0"/>
    <xf numFmtId="195" fontId="13" fillId="0" borderId="0"/>
    <xf numFmtId="195" fontId="13" fillId="0" borderId="0"/>
    <xf numFmtId="195" fontId="13" fillId="0" borderId="0"/>
    <xf numFmtId="195" fontId="13" fillId="0" borderId="0"/>
    <xf numFmtId="0" fontId="13" fillId="0" borderId="0"/>
    <xf numFmtId="0" fontId="13" fillId="0" borderId="0"/>
    <xf numFmtId="198" fontId="97" fillId="0" borderId="0"/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69" fillId="0" borderId="0"/>
    <xf numFmtId="0" fontId="70" fillId="0" borderId="0"/>
    <xf numFmtId="195" fontId="17" fillId="0" borderId="0">
      <alignment horizontal="left" wrapText="1"/>
    </xf>
    <xf numFmtId="195" fontId="17" fillId="0" borderId="0">
      <alignment horizontal="left" wrapText="1"/>
    </xf>
    <xf numFmtId="195" fontId="17" fillId="0" borderId="0">
      <alignment horizontal="left" wrapText="1"/>
    </xf>
    <xf numFmtId="195" fontId="17" fillId="0" borderId="0">
      <alignment horizontal="left" wrapText="1"/>
    </xf>
    <xf numFmtId="195" fontId="17" fillId="0" borderId="0">
      <alignment horizontal="left" wrapText="1"/>
    </xf>
    <xf numFmtId="0" fontId="18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3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0" fontId="13" fillId="0" borderId="0"/>
    <xf numFmtId="165" fontId="13" fillId="0" borderId="0">
      <alignment horizontal="left" wrapText="1"/>
    </xf>
    <xf numFmtId="165" fontId="13" fillId="0" borderId="0">
      <alignment horizontal="left" wrapText="1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1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>
      <alignment horizontal="left" wrapText="1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09" fillId="0" borderId="0"/>
    <xf numFmtId="0" fontId="13" fillId="0" borderId="0"/>
    <xf numFmtId="0" fontId="65" fillId="0" borderId="0"/>
    <xf numFmtId="0" fontId="66" fillId="0" borderId="0"/>
    <xf numFmtId="183" fontId="13" fillId="0" borderId="0">
      <alignment horizontal="left" wrapText="1"/>
    </xf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43" fillId="0" borderId="0"/>
    <xf numFmtId="183" fontId="13" fillId="0" borderId="0">
      <alignment horizontal="left" wrapText="1"/>
    </xf>
    <xf numFmtId="0" fontId="23" fillId="0" borderId="0"/>
    <xf numFmtId="0" fontId="13" fillId="0" borderId="0"/>
    <xf numFmtId="0" fontId="18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0" fillId="94" borderId="59" applyNumberFormat="0" applyFont="0" applyAlignment="0" applyProtection="0"/>
    <xf numFmtId="0" fontId="100" fillId="94" borderId="59" applyNumberFormat="0" applyFont="0" applyAlignment="0" applyProtection="0"/>
    <xf numFmtId="0" fontId="107" fillId="94" borderId="59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68" fillId="42" borderId="15" applyNumberFormat="0" applyFont="0" applyAlignment="0" applyProtection="0"/>
    <xf numFmtId="0" fontId="133" fillId="89" borderId="60" applyNumberFormat="0" applyAlignment="0" applyProtection="0"/>
    <xf numFmtId="0" fontId="91" fillId="43" borderId="16" applyNumberFormat="0" applyAlignment="0" applyProtection="0"/>
    <xf numFmtId="0" fontId="91" fillId="34" borderId="16" applyNumberFormat="0" applyAlignment="0" applyProtection="0"/>
    <xf numFmtId="0" fontId="91" fillId="34" borderId="16" applyNumberFormat="0" applyAlignment="0" applyProtection="0"/>
    <xf numFmtId="0" fontId="42" fillId="0" borderId="0"/>
    <xf numFmtId="0" fontId="42" fillId="0" borderId="0"/>
    <xf numFmtId="0" fontId="54" fillId="0" borderId="0"/>
    <xf numFmtId="9" fontId="5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8" fillId="44" borderId="10"/>
    <xf numFmtId="41" fontId="13" fillId="44" borderId="10"/>
    <xf numFmtId="41" fontId="13" fillId="44" borderId="10"/>
    <xf numFmtId="41" fontId="13" fillId="44" borderId="10"/>
    <xf numFmtId="41" fontId="13" fillId="44" borderId="1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7">
      <alignment horizontal="center"/>
    </xf>
    <xf numFmtId="0" fontId="50" fillId="0" borderId="17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45" borderId="0" applyNumberFormat="0" applyFont="0" applyBorder="0" applyAlignment="0" applyProtection="0"/>
    <xf numFmtId="0" fontId="49" fillId="45" borderId="0" applyNumberFormat="0" applyFont="0" applyBorder="0" applyAlignment="0" applyProtection="0"/>
    <xf numFmtId="0" fontId="54" fillId="0" borderId="0"/>
    <xf numFmtId="3" fontId="57" fillId="0" borderId="0" applyFill="0" applyBorder="0" applyAlignment="0" applyProtection="0"/>
    <xf numFmtId="0" fontId="58" fillId="0" borderId="0"/>
    <xf numFmtId="3" fontId="57" fillId="0" borderId="0" applyFill="0" applyBorder="0" applyAlignment="0" applyProtection="0"/>
    <xf numFmtId="3" fontId="62" fillId="0" borderId="0" applyFill="0" applyBorder="0" applyAlignment="0" applyProtection="0"/>
    <xf numFmtId="42" fontId="18" fillId="33" borderId="0"/>
    <xf numFmtId="42" fontId="13" fillId="33" borderId="0"/>
    <xf numFmtId="42" fontId="13" fillId="33" borderId="0"/>
    <xf numFmtId="42" fontId="13" fillId="33" borderId="0"/>
    <xf numFmtId="42" fontId="18" fillId="33" borderId="18">
      <alignment vertical="center"/>
    </xf>
    <xf numFmtId="42" fontId="13" fillId="33" borderId="18">
      <alignment vertical="center"/>
    </xf>
    <xf numFmtId="42" fontId="13" fillId="33" borderId="18">
      <alignment vertical="center"/>
    </xf>
    <xf numFmtId="42" fontId="13" fillId="33" borderId="18">
      <alignment vertical="center"/>
    </xf>
    <xf numFmtId="42" fontId="13" fillId="33" borderId="18">
      <alignment vertical="center"/>
    </xf>
    <xf numFmtId="0" fontId="21" fillId="33" borderId="19" applyNumberFormat="0">
      <alignment horizontal="center" vertical="center" wrapText="1"/>
    </xf>
    <xf numFmtId="0" fontId="21" fillId="33" borderId="19" applyNumberFormat="0">
      <alignment horizontal="center" vertical="center" wrapText="1"/>
    </xf>
    <xf numFmtId="10" fontId="13" fillId="33" borderId="0"/>
    <xf numFmtId="10" fontId="13" fillId="33" borderId="0"/>
    <xf numFmtId="10" fontId="13" fillId="33" borderId="0"/>
    <xf numFmtId="10" fontId="13" fillId="33" borderId="0"/>
    <xf numFmtId="10" fontId="13" fillId="33" borderId="0"/>
    <xf numFmtId="10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42" fontId="13" fillId="33" borderId="0"/>
    <xf numFmtId="174" fontId="53" fillId="0" borderId="0" applyBorder="0" applyAlignment="0"/>
    <xf numFmtId="42" fontId="18" fillId="33" borderId="20">
      <alignment horizontal="left"/>
    </xf>
    <xf numFmtId="42" fontId="13" fillId="33" borderId="20">
      <alignment horizontal="left"/>
    </xf>
    <xf numFmtId="42" fontId="13" fillId="33" borderId="20">
      <alignment horizontal="left"/>
    </xf>
    <xf numFmtId="42" fontId="13" fillId="33" borderId="20">
      <alignment horizontal="left"/>
    </xf>
    <xf numFmtId="42" fontId="13" fillId="33" borderId="20">
      <alignment horizontal="left"/>
    </xf>
    <xf numFmtId="192" fontId="19" fillId="33" borderId="20">
      <alignment horizontal="left"/>
    </xf>
    <xf numFmtId="174" fontId="37" fillId="0" borderId="0" applyBorder="0" applyAlignment="0"/>
    <xf numFmtId="14" fontId="17" fillId="0" borderId="0" applyNumberFormat="0" applyFill="0" applyBorder="0" applyAlignment="0" applyProtection="0">
      <alignment horizontal="lef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4" fontId="33" fillId="41" borderId="16" applyNumberFormat="0" applyProtection="0">
      <alignment vertical="center"/>
    </xf>
    <xf numFmtId="4" fontId="102" fillId="41" borderId="16" applyNumberFormat="0" applyProtection="0">
      <alignment vertical="center"/>
    </xf>
    <xf numFmtId="4" fontId="33" fillId="41" borderId="16" applyNumberFormat="0" applyProtection="0">
      <alignment horizontal="left" vertical="center" indent="1"/>
    </xf>
    <xf numFmtId="4" fontId="33" fillId="41" borderId="16" applyNumberFormat="0" applyProtection="0">
      <alignment horizontal="left" vertical="center" indent="1"/>
    </xf>
    <xf numFmtId="0" fontId="101" fillId="46" borderId="16" applyNumberFormat="0" applyProtection="0">
      <alignment horizontal="left" vertical="center" indent="1"/>
    </xf>
    <xf numFmtId="4" fontId="33" fillId="47" borderId="16" applyNumberFormat="0" applyProtection="0">
      <alignment horizontal="right" vertical="center"/>
    </xf>
    <xf numFmtId="4" fontId="33" fillId="48" borderId="16" applyNumberFormat="0" applyProtection="0">
      <alignment horizontal="right" vertical="center"/>
    </xf>
    <xf numFmtId="4" fontId="33" fillId="49" borderId="16" applyNumberFormat="0" applyProtection="0">
      <alignment horizontal="right" vertical="center"/>
    </xf>
    <xf numFmtId="4" fontId="33" fillId="50" borderId="16" applyNumberFormat="0" applyProtection="0">
      <alignment horizontal="right" vertical="center"/>
    </xf>
    <xf numFmtId="4" fontId="33" fillId="51" borderId="16" applyNumberFormat="0" applyProtection="0">
      <alignment horizontal="right" vertical="center"/>
    </xf>
    <xf numFmtId="4" fontId="33" fillId="52" borderId="16" applyNumberFormat="0" applyProtection="0">
      <alignment horizontal="right" vertical="center"/>
    </xf>
    <xf numFmtId="4" fontId="33" fillId="53" borderId="16" applyNumberFormat="0" applyProtection="0">
      <alignment horizontal="right" vertical="center"/>
    </xf>
    <xf numFmtId="4" fontId="33" fillId="54" borderId="16" applyNumberFormat="0" applyProtection="0">
      <alignment horizontal="right" vertical="center"/>
    </xf>
    <xf numFmtId="4" fontId="33" fillId="55" borderId="16" applyNumberFormat="0" applyProtection="0">
      <alignment horizontal="right" vertical="center"/>
    </xf>
    <xf numFmtId="4" fontId="32" fillId="56" borderId="16" applyNumberFormat="0" applyProtection="0">
      <alignment horizontal="left" vertical="center" indent="1"/>
    </xf>
    <xf numFmtId="4" fontId="33" fillId="57" borderId="21" applyNumberFormat="0" applyProtection="0">
      <alignment horizontal="left" vertical="center" indent="1"/>
    </xf>
    <xf numFmtId="4" fontId="103" fillId="58" borderId="0" applyNumberFormat="0" applyProtection="0">
      <alignment horizontal="left" vertical="center" indent="1"/>
    </xf>
    <xf numFmtId="0" fontId="101" fillId="46" borderId="16" applyNumberFormat="0" applyProtection="0">
      <alignment horizontal="left" vertical="center" indent="1"/>
    </xf>
    <xf numFmtId="4" fontId="104" fillId="57" borderId="16" applyNumberFormat="0" applyProtection="0">
      <alignment horizontal="left" vertical="center" indent="1"/>
    </xf>
    <xf numFmtId="4" fontId="104" fillId="59" borderId="16" applyNumberFormat="0" applyProtection="0">
      <alignment horizontal="left" vertical="center" indent="1"/>
    </xf>
    <xf numFmtId="0" fontId="101" fillId="59" borderId="16" applyNumberFormat="0" applyProtection="0">
      <alignment horizontal="left" vertical="center" indent="1"/>
    </xf>
    <xf numFmtId="0" fontId="101" fillId="59" borderId="16" applyNumberFormat="0" applyProtection="0">
      <alignment horizontal="left" vertical="center" indent="1"/>
    </xf>
    <xf numFmtId="0" fontId="101" fillId="60" borderId="16" applyNumberFormat="0" applyProtection="0">
      <alignment horizontal="left" vertical="center" indent="1"/>
    </xf>
    <xf numFmtId="0" fontId="101" fillId="60" borderId="16" applyNumberFormat="0" applyProtection="0">
      <alignment horizontal="left" vertical="center" indent="1"/>
    </xf>
    <xf numFmtId="0" fontId="101" fillId="36" borderId="16" applyNumberFormat="0" applyProtection="0">
      <alignment horizontal="left" vertical="center" indent="1"/>
    </xf>
    <xf numFmtId="0" fontId="101" fillId="36" borderId="16" applyNumberFormat="0" applyProtection="0">
      <alignment horizontal="left" vertical="center" indent="1"/>
    </xf>
    <xf numFmtId="0" fontId="101" fillId="46" borderId="16" applyNumberFormat="0" applyProtection="0">
      <alignment horizontal="left" vertical="center" indent="1"/>
    </xf>
    <xf numFmtId="0" fontId="101" fillId="46" borderId="16" applyNumberFormat="0" applyProtection="0">
      <alignment horizontal="left" vertical="center" indent="1"/>
    </xf>
    <xf numFmtId="0" fontId="101" fillId="43" borderId="9" applyNumberFormat="0">
      <protection locked="0"/>
    </xf>
    <xf numFmtId="4" fontId="33" fillId="61" borderId="16" applyNumberFormat="0" applyProtection="0">
      <alignment vertical="center"/>
    </xf>
    <xf numFmtId="4" fontId="102" fillId="61" borderId="16" applyNumberFormat="0" applyProtection="0">
      <alignment vertical="center"/>
    </xf>
    <xf numFmtId="4" fontId="33" fillId="61" borderId="16" applyNumberFormat="0" applyProtection="0">
      <alignment horizontal="left" vertical="center" indent="1"/>
    </xf>
    <xf numFmtId="4" fontId="33" fillId="61" borderId="16" applyNumberFormat="0" applyProtection="0">
      <alignment horizontal="left" vertical="center" indent="1"/>
    </xf>
    <xf numFmtId="4" fontId="33" fillId="57" borderId="16" applyNumberFormat="0" applyProtection="0">
      <alignment horizontal="right" vertical="center"/>
    </xf>
    <xf numFmtId="4" fontId="33" fillId="57" borderId="16" applyNumberFormat="0" applyProtection="0">
      <alignment horizontal="right" vertical="center"/>
    </xf>
    <xf numFmtId="4" fontId="102" fillId="57" borderId="16" applyNumberFormat="0" applyProtection="0">
      <alignment horizontal="right" vertical="center"/>
    </xf>
    <xf numFmtId="0" fontId="101" fillId="46" borderId="16" applyNumberFormat="0" applyProtection="0">
      <alignment horizontal="left" vertical="center" indent="1"/>
    </xf>
    <xf numFmtId="0" fontId="101" fillId="46" borderId="16" applyNumberFormat="0" applyProtection="0">
      <alignment horizontal="left" vertical="center" indent="1"/>
    </xf>
    <xf numFmtId="0" fontId="105" fillId="0" borderId="0"/>
    <xf numFmtId="4" fontId="99" fillId="57" borderId="16" applyNumberFormat="0" applyProtection="0">
      <alignment horizontal="right" vertical="center"/>
    </xf>
    <xf numFmtId="39" fontId="13" fillId="62" borderId="0"/>
    <xf numFmtId="39" fontId="13" fillId="62" borderId="0"/>
    <xf numFmtId="39" fontId="13" fillId="62" borderId="0"/>
    <xf numFmtId="39" fontId="13" fillId="62" borderId="0"/>
    <xf numFmtId="39" fontId="13" fillId="62" borderId="0"/>
    <xf numFmtId="39" fontId="13" fillId="62" borderId="0"/>
    <xf numFmtId="0" fontId="106" fillId="0" borderId="0" applyNumberFormat="0" applyFill="0" applyBorder="0" applyAlignment="0" applyProtection="0"/>
    <xf numFmtId="38" fontId="36" fillId="0" borderId="22"/>
    <xf numFmtId="38" fontId="16" fillId="0" borderId="22"/>
    <xf numFmtId="38" fontId="16" fillId="0" borderId="22"/>
    <xf numFmtId="38" fontId="16" fillId="0" borderId="22"/>
    <xf numFmtId="38" fontId="16" fillId="0" borderId="22"/>
    <xf numFmtId="38" fontId="16" fillId="0" borderId="22"/>
    <xf numFmtId="38" fontId="37" fillId="0" borderId="20"/>
    <xf numFmtId="38" fontId="37" fillId="0" borderId="20"/>
    <xf numFmtId="38" fontId="37" fillId="0" borderId="20"/>
    <xf numFmtId="39" fontId="17" fillId="63" borderId="0"/>
    <xf numFmtId="167" fontId="18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66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1" fontId="13" fillId="0" borderId="0">
      <alignment horizontal="left" wrapText="1"/>
    </xf>
    <xf numFmtId="181" fontId="13" fillId="0" borderId="0">
      <alignment horizontal="left" wrapText="1"/>
    </xf>
    <xf numFmtId="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66" fontId="13" fillId="0" borderId="0">
      <alignment horizontal="left" wrapText="1"/>
    </xf>
    <xf numFmtId="199" fontId="13" fillId="0" borderId="0">
      <alignment horizontal="left" wrapText="1"/>
    </xf>
    <xf numFmtId="40" fontId="51" fillId="0" borderId="0" applyBorder="0">
      <alignment horizontal="right"/>
    </xf>
    <xf numFmtId="41" fontId="22" fillId="33" borderId="0">
      <alignment horizontal="left"/>
    </xf>
    <xf numFmtId="0" fontId="13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3" fontId="59" fillId="33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52" fillId="0" borderId="0">
      <alignment horizontal="left" vertical="center"/>
    </xf>
    <xf numFmtId="0" fontId="40" fillId="0" borderId="23" applyNumberFormat="0" applyFont="0" applyFill="0" applyAlignment="0" applyProtection="0"/>
    <xf numFmtId="0" fontId="135" fillId="0" borderId="61" applyNumberFormat="0" applyFill="0" applyAlignment="0" applyProtection="0"/>
    <xf numFmtId="0" fontId="98" fillId="0" borderId="24" applyNumberFormat="0" applyFill="0" applyAlignment="0" applyProtection="0"/>
    <xf numFmtId="0" fontId="135" fillId="0" borderId="61" applyNumberFormat="0" applyFill="0" applyAlignment="0" applyProtection="0"/>
    <xf numFmtId="0" fontId="40" fillId="0" borderId="23" applyNumberFormat="0" applyFont="0" applyFill="0" applyAlignment="0" applyProtection="0"/>
    <xf numFmtId="0" fontId="54" fillId="0" borderId="25"/>
    <xf numFmtId="0" fontId="1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8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90" fontId="23" fillId="0" borderId="0" applyFill="0" applyBorder="0" applyAlignment="0"/>
    <xf numFmtId="41" fontId="13" fillId="36" borderId="0"/>
    <xf numFmtId="43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54" fillId="0" borderId="0"/>
    <xf numFmtId="0" fontId="54" fillId="0" borderId="0"/>
    <xf numFmtId="0" fontId="54" fillId="0" borderId="0"/>
    <xf numFmtId="0" fontId="5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72" fillId="0" borderId="0" applyFill="0" applyBorder="0" applyAlignment="0" applyProtection="0"/>
    <xf numFmtId="0" fontId="16" fillId="36" borderId="0"/>
    <xf numFmtId="37" fontId="48" fillId="0" borderId="0"/>
    <xf numFmtId="0" fontId="13" fillId="0" borderId="0"/>
    <xf numFmtId="0" fontId="17" fillId="0" borderId="0"/>
    <xf numFmtId="0" fontId="4" fillId="0" borderId="0"/>
    <xf numFmtId="0" fontId="54" fillId="0" borderId="0"/>
    <xf numFmtId="0" fontId="5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7">
      <alignment horizontal="center"/>
    </xf>
    <xf numFmtId="3" fontId="49" fillId="0" borderId="0" applyFont="0" applyFill="0" applyBorder="0" applyAlignment="0" applyProtection="0"/>
    <xf numFmtId="0" fontId="49" fillId="45" borderId="0" applyNumberFormat="0" applyFont="0" applyBorder="0" applyAlignment="0" applyProtection="0"/>
    <xf numFmtId="0" fontId="54" fillId="0" borderId="0"/>
    <xf numFmtId="0" fontId="54" fillId="0" borderId="0"/>
    <xf numFmtId="0" fontId="58" fillId="0" borderId="0"/>
    <xf numFmtId="0" fontId="58" fillId="0" borderId="0"/>
    <xf numFmtId="0" fontId="148" fillId="95" borderId="0"/>
    <xf numFmtId="0" fontId="150" fillId="95" borderId="77"/>
    <xf numFmtId="0" fontId="151" fillId="96" borderId="78"/>
    <xf numFmtId="0" fontId="152" fillId="95" borderId="79"/>
    <xf numFmtId="0" fontId="21" fillId="33" borderId="19" applyNumberFormat="0">
      <alignment horizontal="center" vertical="center" wrapText="1"/>
    </xf>
    <xf numFmtId="0" fontId="13" fillId="0" borderId="0" applyNumberFormat="0" applyBorder="0" applyAlignment="0"/>
    <xf numFmtId="0" fontId="148" fillId="0" borderId="0"/>
    <xf numFmtId="0" fontId="150" fillId="95" borderId="0"/>
    <xf numFmtId="0" fontId="21" fillId="33" borderId="0">
      <alignment horizontal="left" wrapText="1"/>
    </xf>
    <xf numFmtId="0" fontId="54" fillId="0" borderId="80"/>
    <xf numFmtId="0" fontId="54" fillId="0" borderId="80"/>
    <xf numFmtId="0" fontId="13" fillId="0" borderId="0"/>
    <xf numFmtId="0" fontId="13" fillId="0" borderId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5" borderId="0" applyNumberFormat="0" applyBorder="0" applyAlignment="0" applyProtection="0"/>
    <xf numFmtId="0" fontId="94" fillId="34" borderId="91" applyNumberFormat="0" applyAlignment="0" applyProtection="0"/>
    <xf numFmtId="0" fontId="84" fillId="35" borderId="92" applyNumberFormat="0" applyAlignment="0" applyProtection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1" fillId="0" borderId="86">
      <alignment horizontal="left"/>
    </xf>
    <xf numFmtId="10" fontId="16" fillId="33" borderId="93" applyNumberFormat="0" applyBorder="0" applyAlignment="0" applyProtection="0"/>
    <xf numFmtId="10" fontId="16" fillId="33" borderId="93" applyNumberFormat="0" applyBorder="0" applyAlignment="0" applyProtection="0"/>
    <xf numFmtId="10" fontId="16" fillId="33" borderId="93" applyNumberFormat="0" applyBorder="0" applyAlignment="0" applyProtection="0"/>
    <xf numFmtId="10" fontId="16" fillId="33" borderId="93" applyNumberFormat="0" applyBorder="0" applyAlignment="0" applyProtection="0"/>
    <xf numFmtId="0" fontId="88" fillId="7" borderId="91" applyNumberFormat="0" applyAlignment="0" applyProtection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68" fillId="94" borderId="59" applyNumberFormat="0" applyFont="0" applyAlignment="0" applyProtection="0"/>
    <xf numFmtId="0" fontId="68" fillId="94" borderId="59" applyNumberFormat="0" applyFont="0" applyAlignment="0" applyProtection="0"/>
    <xf numFmtId="0" fontId="68" fillId="94" borderId="59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68" fillId="42" borderId="94" applyNumberFormat="0" applyFont="0" applyAlignment="0" applyProtection="0"/>
    <xf numFmtId="0" fontId="91" fillId="34" borderId="95" applyNumberFormat="0" applyAlignment="0" applyProtection="0"/>
    <xf numFmtId="9" fontId="68" fillId="0" borderId="0" applyFont="0" applyFill="0" applyBorder="0" applyAlignment="0" applyProtection="0"/>
    <xf numFmtId="42" fontId="13" fillId="33" borderId="0"/>
    <xf numFmtId="42" fontId="13" fillId="33" borderId="96">
      <alignment vertical="center"/>
    </xf>
    <xf numFmtId="174" fontId="37" fillId="0" borderId="0" applyBorder="0" applyAlignment="0"/>
    <xf numFmtId="42" fontId="13" fillId="33" borderId="83">
      <alignment horizontal="left"/>
    </xf>
    <xf numFmtId="192" fontId="19" fillId="33" borderId="83">
      <alignment horizontal="left"/>
    </xf>
    <xf numFmtId="4" fontId="33" fillId="41" borderId="95" applyNumberFormat="0" applyProtection="0">
      <alignment vertical="center"/>
    </xf>
    <xf numFmtId="4" fontId="102" fillId="41" borderId="95" applyNumberFormat="0" applyProtection="0">
      <alignment vertical="center"/>
    </xf>
    <xf numFmtId="4" fontId="33" fillId="41" borderId="95" applyNumberFormat="0" applyProtection="0">
      <alignment horizontal="left" vertical="center" indent="1"/>
    </xf>
    <xf numFmtId="4" fontId="33" fillId="41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4" fontId="33" fillId="47" borderId="95" applyNumberFormat="0" applyProtection="0">
      <alignment horizontal="right" vertical="center"/>
    </xf>
    <xf numFmtId="4" fontId="33" fillId="48" borderId="95" applyNumberFormat="0" applyProtection="0">
      <alignment horizontal="right" vertical="center"/>
    </xf>
    <xf numFmtId="4" fontId="33" fillId="49" borderId="95" applyNumberFormat="0" applyProtection="0">
      <alignment horizontal="right" vertical="center"/>
    </xf>
    <xf numFmtId="4" fontId="33" fillId="50" borderId="95" applyNumberFormat="0" applyProtection="0">
      <alignment horizontal="right" vertical="center"/>
    </xf>
    <xf numFmtId="4" fontId="33" fillId="51" borderId="95" applyNumberFormat="0" applyProtection="0">
      <alignment horizontal="right" vertical="center"/>
    </xf>
    <xf numFmtId="4" fontId="33" fillId="52" borderId="95" applyNumberFormat="0" applyProtection="0">
      <alignment horizontal="right" vertical="center"/>
    </xf>
    <xf numFmtId="4" fontId="33" fillId="53" borderId="95" applyNumberFormat="0" applyProtection="0">
      <alignment horizontal="right" vertical="center"/>
    </xf>
    <xf numFmtId="4" fontId="33" fillId="54" borderId="95" applyNumberFormat="0" applyProtection="0">
      <alignment horizontal="right" vertical="center"/>
    </xf>
    <xf numFmtId="4" fontId="33" fillId="55" borderId="95" applyNumberFormat="0" applyProtection="0">
      <alignment horizontal="right" vertical="center"/>
    </xf>
    <xf numFmtId="4" fontId="32" fillId="56" borderId="95" applyNumberFormat="0" applyProtection="0">
      <alignment horizontal="left" vertical="center" indent="1"/>
    </xf>
    <xf numFmtId="4" fontId="33" fillId="57" borderId="97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4" fontId="33" fillId="57" borderId="95" applyNumberFormat="0" applyProtection="0">
      <alignment horizontal="left" vertical="center" indent="1"/>
    </xf>
    <xf numFmtId="4" fontId="3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3" borderId="93" applyNumberFormat="0">
      <protection locked="0"/>
    </xf>
    <xf numFmtId="4" fontId="33" fillId="61" borderId="95" applyNumberFormat="0" applyProtection="0">
      <alignment vertical="center"/>
    </xf>
    <xf numFmtId="4" fontId="102" fillId="61" borderId="95" applyNumberFormat="0" applyProtection="0">
      <alignment vertical="center"/>
    </xf>
    <xf numFmtId="4" fontId="33" fillId="61" borderId="95" applyNumberFormat="0" applyProtection="0">
      <alignment horizontal="left" vertical="center" indent="1"/>
    </xf>
    <xf numFmtId="4" fontId="33" fillId="61" borderId="95" applyNumberFormat="0" applyProtection="0">
      <alignment horizontal="left" vertical="center" indent="1"/>
    </xf>
    <xf numFmtId="4" fontId="33" fillId="57" borderId="95" applyNumberFormat="0" applyProtection="0">
      <alignment horizontal="right" vertical="center"/>
    </xf>
    <xf numFmtId="4" fontId="102" fillId="57" borderId="95" applyNumberFormat="0" applyProtection="0">
      <alignment horizontal="right" vertical="center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4" fontId="99" fillId="57" borderId="95" applyNumberFormat="0" applyProtection="0">
      <alignment horizontal="right" vertical="center"/>
    </xf>
    <xf numFmtId="38" fontId="37" fillId="0" borderId="83"/>
    <xf numFmtId="167" fontId="13" fillId="0" borderId="0">
      <alignment horizontal="left" wrapText="1"/>
    </xf>
    <xf numFmtId="0" fontId="40" fillId="0" borderId="98" applyNumberFormat="0" applyFont="0" applyFill="0" applyAlignment="0" applyProtection="0"/>
    <xf numFmtId="0" fontId="98" fillId="0" borderId="99" applyNumberFormat="0" applyFill="0" applyAlignment="0" applyProtection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68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71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42" borderId="0" applyNumberFormat="0" applyBorder="0" applyAlignment="0" applyProtection="0"/>
    <xf numFmtId="0" fontId="121" fillId="6" borderId="0" applyNumberFormat="0" applyBorder="0" applyAlignment="0" applyProtection="0"/>
    <xf numFmtId="0" fontId="121" fillId="13" borderId="0" applyNumberFormat="0" applyBorder="0" applyAlignment="0" applyProtection="0"/>
    <xf numFmtId="0" fontId="121" fillId="11" borderId="0" applyNumberFormat="0" applyBorder="0" applyAlignment="0" applyProtection="0"/>
    <xf numFmtId="0" fontId="121" fillId="3" borderId="0" applyNumberFormat="0" applyBorder="0" applyAlignment="0" applyProtection="0"/>
    <xf numFmtId="0" fontId="121" fillId="6" borderId="0" applyNumberFormat="0" applyBorder="0" applyAlignment="0" applyProtection="0"/>
    <xf numFmtId="0" fontId="121" fillId="9" borderId="0" applyNumberFormat="0" applyBorder="0" applyAlignment="0" applyProtection="0"/>
    <xf numFmtId="0" fontId="121" fillId="21" borderId="0" applyNumberFormat="0" applyBorder="0" applyAlignment="0" applyProtection="0"/>
    <xf numFmtId="0" fontId="121" fillId="13" borderId="0" applyNumberFormat="0" applyBorder="0" applyAlignment="0" applyProtection="0"/>
    <xf numFmtId="0" fontId="121" fillId="11" borderId="0" applyNumberFormat="0" applyBorder="0" applyAlignment="0" applyProtection="0"/>
    <xf numFmtId="0" fontId="121" fillId="30" borderId="0" applyNumberFormat="0" applyBorder="0" applyAlignment="0" applyProtection="0"/>
    <xf numFmtId="0" fontId="121" fillId="86" borderId="0" applyNumberFormat="0" applyBorder="0" applyAlignment="0" applyProtection="0"/>
    <xf numFmtId="0" fontId="121" fillId="22" borderId="0" applyNumberFormat="0" applyBorder="0" applyAlignment="0" applyProtection="0"/>
    <xf numFmtId="0" fontId="122" fillId="5" borderId="0" applyNumberFormat="0" applyBorder="0" applyAlignment="0" applyProtection="0"/>
    <xf numFmtId="190" fontId="23" fillId="0" borderId="0" applyFill="0" applyBorder="0" applyAlignment="0"/>
    <xf numFmtId="0" fontId="153" fillId="43" borderId="53" applyNumberFormat="0" applyAlignment="0" applyProtection="0"/>
    <xf numFmtId="41" fontId="13" fillId="33" borderId="0"/>
    <xf numFmtId="0" fontId="124" fillId="90" borderId="54" applyNumberFormat="0" applyAlignment="0" applyProtection="0"/>
    <xf numFmtId="3" fontId="40" fillId="0" borderId="0" applyFont="0" applyFill="0" applyBorder="0" applyAlignment="0" applyProtection="0"/>
    <xf numFmtId="0" fontId="45" fillId="0" borderId="0" applyNumberFormat="0" applyAlignment="0">
      <alignment horizontal="left"/>
    </xf>
    <xf numFmtId="0" fontId="46" fillId="0" borderId="0" applyNumberFormat="0" applyAlignment="0"/>
    <xf numFmtId="4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13" fillId="0" borderId="0"/>
    <xf numFmtId="0" fontId="12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126" fillId="6" borderId="0" applyNumberFormat="0" applyBorder="0" applyAlignment="0" applyProtection="0"/>
    <xf numFmtId="38" fontId="13" fillId="36" borderId="0" applyNumberFormat="0" applyBorder="0" applyAlignment="0" applyProtection="0"/>
    <xf numFmtId="38" fontId="13" fillId="36" borderId="0" applyNumberFormat="0" applyBorder="0" applyAlignment="0" applyProtection="0"/>
    <xf numFmtId="38" fontId="16" fillId="36" borderId="0" applyNumberFormat="0" applyBorder="0" applyAlignment="0" applyProtection="0"/>
    <xf numFmtId="38" fontId="13" fillId="36" borderId="0" applyNumberFormat="0" applyBorder="0" applyAlignment="0" applyProtection="0"/>
    <xf numFmtId="0" fontId="31" fillId="0" borderId="3" applyNumberFormat="0" applyAlignment="0" applyProtection="0">
      <alignment horizontal="left"/>
    </xf>
    <xf numFmtId="0" fontId="31" fillId="0" borderId="86">
      <alignment horizontal="left"/>
    </xf>
    <xf numFmtId="0" fontId="154" fillId="0" borderId="100" applyNumberFormat="0" applyFill="0" applyAlignment="0" applyProtection="0"/>
    <xf numFmtId="0" fontId="40" fillId="0" borderId="0" applyNumberFormat="0" applyFill="0" applyBorder="0" applyAlignment="0" applyProtection="0"/>
    <xf numFmtId="0" fontId="155" fillId="0" borderId="101" applyNumberFormat="0" applyFill="0" applyAlignment="0" applyProtection="0"/>
    <xf numFmtId="0" fontId="40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38" fontId="37" fillId="0" borderId="0"/>
    <xf numFmtId="40" fontId="37" fillId="0" borderId="0"/>
    <xf numFmtId="10" fontId="16" fillId="33" borderId="93" applyNumberFormat="0" applyBorder="0" applyAlignment="0" applyProtection="0"/>
    <xf numFmtId="0" fontId="130" fillId="40" borderId="53" applyNumberFormat="0" applyAlignment="0" applyProtection="0"/>
    <xf numFmtId="0" fontId="130" fillId="40" borderId="53" applyNumberFormat="0" applyAlignment="0" applyProtection="0"/>
    <xf numFmtId="3" fontId="56" fillId="0" borderId="0" applyFill="0" applyBorder="0" applyAlignment="0" applyProtection="0"/>
    <xf numFmtId="0" fontId="93" fillId="0" borderId="12" applyNumberFormat="0" applyFill="0" applyAlignment="0" applyProtection="0"/>
    <xf numFmtId="44" fontId="21" fillId="0" borderId="13" applyNumberFormat="0" applyFont="0" applyAlignment="0">
      <alignment horizontal="center"/>
    </xf>
    <xf numFmtId="44" fontId="21" fillId="0" borderId="14" applyNumberFormat="0" applyFont="0" applyAlignment="0">
      <alignment horizontal="center"/>
    </xf>
    <xf numFmtId="0" fontId="156" fillId="93" borderId="0" applyNumberFormat="0" applyBorder="0" applyAlignment="0" applyProtection="0"/>
    <xf numFmtId="37" fontId="48" fillId="0" borderId="0"/>
    <xf numFmtId="206" fontId="13" fillId="0" borderId="0"/>
    <xf numFmtId="206" fontId="13" fillId="0" borderId="0"/>
    <xf numFmtId="206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183" fontId="13" fillId="0" borderId="0">
      <alignment horizontal="left" wrapText="1"/>
    </xf>
    <xf numFmtId="0" fontId="13" fillId="0" borderId="0"/>
    <xf numFmtId="0" fontId="2" fillId="0" borderId="0"/>
    <xf numFmtId="0" fontId="13" fillId="0" borderId="0">
      <alignment wrapText="1"/>
    </xf>
    <xf numFmtId="175" fontId="13" fillId="0" borderId="0">
      <alignment horizontal="left" wrapText="1"/>
    </xf>
    <xf numFmtId="0" fontId="13" fillId="0" borderId="0">
      <alignment wrapText="1"/>
    </xf>
    <xf numFmtId="207" fontId="17" fillId="0" borderId="0">
      <alignment horizontal="left"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3" fillId="43" borderId="60" applyNumberFormat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7">
      <alignment horizontal="center"/>
    </xf>
    <xf numFmtId="3" fontId="49" fillId="0" borderId="0" applyFont="0" applyFill="0" applyBorder="0" applyAlignment="0" applyProtection="0"/>
    <xf numFmtId="0" fontId="49" fillId="45" borderId="0" applyNumberFormat="0" applyFont="0" applyBorder="0" applyAlignment="0" applyProtection="0"/>
    <xf numFmtId="3" fontId="57" fillId="0" borderId="0" applyFill="0" applyBorder="0" applyAlignment="0" applyProtection="0"/>
    <xf numFmtId="10" fontId="13" fillId="33" borderId="0"/>
    <xf numFmtId="192" fontId="13" fillId="33" borderId="0"/>
    <xf numFmtId="184" fontId="13" fillId="0" borderId="0" applyFont="0" applyFill="0" applyAlignment="0">
      <alignment horizontal="right"/>
    </xf>
    <xf numFmtId="39" fontId="13" fillId="62" borderId="0"/>
    <xf numFmtId="38" fontId="16" fillId="0" borderId="22"/>
    <xf numFmtId="38" fontId="37" fillId="0" borderId="83"/>
    <xf numFmtId="183" fontId="13" fillId="0" borderId="0">
      <alignment horizontal="left" wrapText="1"/>
    </xf>
    <xf numFmtId="0" fontId="106" fillId="0" borderId="0" applyNumberFormat="0" applyFill="0" applyBorder="0" applyAlignment="0" applyProtection="0"/>
    <xf numFmtId="0" fontId="135" fillId="0" borderId="102" applyNumberFormat="0" applyFill="0" applyAlignment="0" applyProtection="0"/>
    <xf numFmtId="0" fontId="40" fillId="0" borderId="98" applyNumberFormat="0" applyFont="0" applyFill="0" applyAlignment="0" applyProtection="0"/>
    <xf numFmtId="0" fontId="136" fillId="0" borderId="0" applyNumberFormat="0" applyFill="0" applyBorder="0" applyAlignment="0" applyProtection="0"/>
    <xf numFmtId="0" fontId="157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21" fillId="6" borderId="0" applyNumberFormat="0" applyBorder="0" applyAlignment="0" applyProtection="0"/>
    <xf numFmtId="0" fontId="121" fillId="13" borderId="0" applyNumberFormat="0" applyBorder="0" applyAlignment="0" applyProtection="0"/>
    <xf numFmtId="0" fontId="121" fillId="11" borderId="0" applyNumberFormat="0" applyBorder="0" applyAlignment="0" applyProtection="0"/>
    <xf numFmtId="0" fontId="121" fillId="3" borderId="0" applyNumberFormat="0" applyBorder="0" applyAlignment="0" applyProtection="0"/>
    <xf numFmtId="0" fontId="121" fillId="6" borderId="0" applyNumberFormat="0" applyBorder="0" applyAlignment="0" applyProtection="0"/>
    <xf numFmtId="0" fontId="121" fillId="9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21" fillId="86" borderId="0" applyNumberFormat="0" applyBorder="0" applyAlignment="0" applyProtection="0"/>
    <xf numFmtId="0" fontId="82" fillId="15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86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22" fillId="5" borderId="0" applyNumberFormat="0" applyBorder="0" applyAlignment="0" applyProtection="0"/>
    <xf numFmtId="0" fontId="153" fillId="43" borderId="53" applyNumberFormat="0" applyAlignment="0" applyProtection="0"/>
    <xf numFmtId="41" fontId="13" fillId="33" borderId="0"/>
    <xf numFmtId="41" fontId="13" fillId="33" borderId="0"/>
    <xf numFmtId="41" fontId="13" fillId="33" borderId="0"/>
    <xf numFmtId="41" fontId="13" fillId="3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159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26" fillId="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38" fontId="16" fillId="36" borderId="0" applyNumberFormat="0" applyBorder="0" applyAlignment="0" applyProtection="0"/>
    <xf numFmtId="0" fontId="154" fillId="0" borderId="100" applyNumberFormat="0" applyFill="0" applyAlignment="0" applyProtection="0"/>
    <xf numFmtId="0" fontId="154" fillId="0" borderId="100" applyNumberFormat="0" applyFill="0" applyAlignment="0" applyProtection="0"/>
    <xf numFmtId="0" fontId="155" fillId="0" borderId="101" applyNumberFormat="0" applyFill="0" applyAlignment="0" applyProtection="0"/>
    <xf numFmtId="0" fontId="155" fillId="0" borderId="101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10" fontId="16" fillId="33" borderId="93" applyNumberFormat="0" applyBorder="0" applyAlignment="0" applyProtection="0"/>
    <xf numFmtId="10" fontId="16" fillId="33" borderId="93" applyNumberFormat="0" applyBorder="0" applyAlignment="0" applyProtection="0"/>
    <xf numFmtId="10" fontId="16" fillId="33" borderId="93" applyNumberFormat="0" applyBorder="0" applyAlignment="0" applyProtection="0"/>
    <xf numFmtId="0" fontId="130" fillId="40" borderId="53" applyNumberFormat="0" applyAlignment="0" applyProtection="0"/>
    <xf numFmtId="0" fontId="16" fillId="36" borderId="0"/>
    <xf numFmtId="0" fontId="93" fillId="0" borderId="12" applyNumberFormat="0" applyFill="0" applyAlignment="0" applyProtection="0"/>
    <xf numFmtId="0" fontId="156" fillId="93" borderId="0" applyNumberFormat="0" applyBorder="0" applyAlignment="0" applyProtection="0"/>
    <xf numFmtId="206" fontId="160" fillId="0" borderId="0"/>
    <xf numFmtId="164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49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0" fontId="16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183" fontId="13" fillId="0" borderId="0">
      <alignment horizontal="left" wrapText="1"/>
    </xf>
    <xf numFmtId="39" fontId="162" fillId="0" borderId="0" applyNumberFormat="0" applyFill="0" applyBorder="0" applyAlignment="0" applyProtection="0"/>
    <xf numFmtId="183" fontId="13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83" fontId="1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7" fillId="0" borderId="0">
      <alignment horizontal="left" wrapText="1"/>
    </xf>
    <xf numFmtId="183" fontId="13" fillId="0" borderId="0">
      <alignment horizontal="left" wrapText="1"/>
    </xf>
    <xf numFmtId="0" fontId="49" fillId="0" borderId="0"/>
    <xf numFmtId="183" fontId="13" fillId="0" borderId="0">
      <alignment horizontal="left" wrapText="1"/>
    </xf>
    <xf numFmtId="0" fontId="49" fillId="0" borderId="0"/>
    <xf numFmtId="183" fontId="13" fillId="0" borderId="0">
      <alignment horizontal="left" wrapText="1"/>
    </xf>
    <xf numFmtId="0" fontId="49" fillId="0" borderId="0"/>
    <xf numFmtId="183" fontId="13" fillId="0" borderId="0">
      <alignment horizontal="left" wrapText="1"/>
    </xf>
    <xf numFmtId="0" fontId="49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42" borderId="94" applyNumberFormat="0" applyFont="0" applyAlignment="0" applyProtection="0"/>
    <xf numFmtId="0" fontId="133" fillId="43" borderId="60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9" fontId="158" fillId="0" borderId="0" applyFont="0" applyFill="0" applyBorder="0" applyAlignment="0" applyProtection="0"/>
    <xf numFmtId="10" fontId="13" fillId="0" borderId="10"/>
    <xf numFmtId="9" fontId="1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3" fillId="0" borderId="10"/>
    <xf numFmtId="9" fontId="4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3" fillId="0" borderId="10"/>
    <xf numFmtId="9" fontId="68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3" fillId="0" borderId="1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3" fillId="0" borderId="10"/>
    <xf numFmtId="9" fontId="49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3" fillId="33" borderId="0"/>
    <xf numFmtId="10" fontId="13" fillId="33" borderId="0"/>
    <xf numFmtId="10" fontId="13" fillId="33" borderId="0"/>
    <xf numFmtId="192" fontId="13" fillId="33" borderId="0"/>
    <xf numFmtId="192" fontId="13" fillId="33" borderId="0"/>
    <xf numFmtId="192" fontId="13" fillId="33" borderId="0"/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39" fontId="13" fillId="62" borderId="0"/>
    <xf numFmtId="39" fontId="13" fillId="62" borderId="0"/>
    <xf numFmtId="39" fontId="13" fillId="62" borderId="0"/>
    <xf numFmtId="38" fontId="16" fillId="0" borderId="22"/>
    <xf numFmtId="38" fontId="16" fillId="0" borderId="22"/>
    <xf numFmtId="38" fontId="16" fillId="0" borderId="22"/>
    <xf numFmtId="38" fontId="16" fillId="0" borderId="22"/>
    <xf numFmtId="38" fontId="16" fillId="0" borderId="22"/>
    <xf numFmtId="38" fontId="16" fillId="0" borderId="22"/>
    <xf numFmtId="0" fontId="106" fillId="0" borderId="0" applyNumberFormat="0" applyFill="0" applyBorder="0" applyAlignment="0" applyProtection="0"/>
    <xf numFmtId="0" fontId="135" fillId="0" borderId="102" applyNumberFormat="0" applyFill="0" applyAlignment="0" applyProtection="0"/>
    <xf numFmtId="0" fontId="135" fillId="0" borderId="102" applyNumberFormat="0" applyFill="0" applyAlignment="0" applyProtection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180" fontId="13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3" borderId="0" applyNumberFormat="0" applyBorder="0" applyAlignment="0" applyProtection="0"/>
    <xf numFmtId="0" fontId="121" fillId="3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53" fillId="43" borderId="53" applyNumberFormat="0" applyAlignment="0" applyProtection="0"/>
    <xf numFmtId="0" fontId="153" fillId="43" borderId="53" applyNumberFormat="0" applyAlignment="0" applyProtection="0"/>
    <xf numFmtId="41" fontId="13" fillId="33" borderId="0"/>
    <xf numFmtId="41" fontId="13" fillId="33" borderId="0"/>
    <xf numFmtId="0" fontId="153" fillId="43" borderId="53" applyNumberFormat="0" applyAlignment="0" applyProtection="0"/>
    <xf numFmtId="0" fontId="153" fillId="43" borderId="53" applyNumberFormat="0" applyAlignment="0" applyProtection="0"/>
    <xf numFmtId="41" fontId="13" fillId="33" borderId="0"/>
    <xf numFmtId="41" fontId="13" fillId="33" borderId="0"/>
    <xf numFmtId="41" fontId="13" fillId="33" borderId="0"/>
    <xf numFmtId="41" fontId="13" fillId="3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197" fontId="13" fillId="0" borderId="0" applyFont="0" applyFill="0" applyBorder="0" applyAlignment="0" applyProtection="0">
      <alignment horizontal="left" wrapText="1"/>
    </xf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154" fillId="0" borderId="100" applyNumberFormat="0" applyFill="0" applyAlignment="0" applyProtection="0"/>
    <xf numFmtId="0" fontId="165" fillId="0" borderId="100" applyNumberFormat="0" applyFill="0" applyAlignment="0" applyProtection="0"/>
    <xf numFmtId="0" fontId="154" fillId="0" borderId="100" applyNumberFormat="0" applyFill="0" applyAlignment="0" applyProtection="0"/>
    <xf numFmtId="0" fontId="165" fillId="0" borderId="100" applyNumberFormat="0" applyFill="0" applyAlignment="0" applyProtection="0"/>
    <xf numFmtId="0" fontId="155" fillId="0" borderId="101" applyNumberFormat="0" applyFill="0" applyAlignment="0" applyProtection="0"/>
    <xf numFmtId="0" fontId="166" fillId="0" borderId="101" applyNumberFormat="0" applyFill="0" applyAlignment="0" applyProtection="0"/>
    <xf numFmtId="0" fontId="155" fillId="0" borderId="101" applyNumberFormat="0" applyFill="0" applyAlignment="0" applyProtection="0"/>
    <xf numFmtId="0" fontId="166" fillId="0" borderId="101" applyNumberFormat="0" applyFill="0" applyAlignment="0" applyProtection="0"/>
    <xf numFmtId="0" fontId="113" fillId="0" borderId="8" applyNumberFormat="0" applyFill="0" applyAlignment="0" applyProtection="0"/>
    <xf numFmtId="0" fontId="167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30" fillId="40" borderId="53" applyNumberFormat="0" applyAlignment="0" applyProtection="0"/>
    <xf numFmtId="0" fontId="130" fillId="40" borderId="53" applyNumberFormat="0" applyAlignment="0" applyProtection="0"/>
    <xf numFmtId="0" fontId="130" fillId="40" borderId="53" applyNumberFormat="0" applyAlignment="0" applyProtection="0"/>
    <xf numFmtId="0" fontId="93" fillId="0" borderId="12" applyNumberFormat="0" applyFill="0" applyAlignment="0" applyProtection="0"/>
    <xf numFmtId="0" fontId="169" fillId="0" borderId="12" applyNumberFormat="0" applyFill="0" applyAlignment="0" applyProtection="0"/>
    <xf numFmtId="0" fontId="156" fillId="93" borderId="0" applyNumberFormat="0" applyBorder="0" applyAlignment="0" applyProtection="0"/>
    <xf numFmtId="0" fontId="156" fillId="93" borderId="0" applyNumberFormat="0" applyBorder="0" applyAlignment="0" applyProtection="0"/>
    <xf numFmtId="195" fontId="13" fillId="0" borderId="0"/>
    <xf numFmtId="195" fontId="13" fillId="0" borderId="0"/>
    <xf numFmtId="195" fontId="13" fillId="0" borderId="0"/>
    <xf numFmtId="195" fontId="13" fillId="0" borderId="0"/>
    <xf numFmtId="164" fontId="13" fillId="0" borderId="0"/>
    <xf numFmtId="206" fontId="160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>
      <alignment horizontal="left" wrapText="1"/>
    </xf>
    <xf numFmtId="165" fontId="13" fillId="0" borderId="0">
      <alignment horizontal="left" wrapText="1"/>
    </xf>
    <xf numFmtId="183" fontId="13" fillId="0" borderId="0">
      <alignment horizontal="left" wrapText="1"/>
    </xf>
    <xf numFmtId="165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183" fontId="13" fillId="0" borderId="0">
      <alignment horizontal="left" wrapText="1"/>
    </xf>
    <xf numFmtId="39" fontId="162" fillId="0" borderId="0" applyNumberFormat="0" applyFill="0" applyBorder="0" applyAlignment="0" applyProtection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2" borderId="94" applyNumberFormat="0" applyFont="0" applyAlignment="0" applyProtection="0"/>
    <xf numFmtId="0" fontId="13" fillId="42" borderId="94" applyNumberFormat="0" applyFont="0" applyAlignment="0" applyProtection="0"/>
    <xf numFmtId="0" fontId="133" fillId="43" borderId="60" applyNumberFormat="0" applyAlignment="0" applyProtection="0"/>
    <xf numFmtId="0" fontId="133" fillId="43" borderId="60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9" fontId="158" fillId="0" borderId="0" applyFont="0" applyFill="0" applyBorder="0" applyAlignment="0" applyProtection="0"/>
    <xf numFmtId="10" fontId="13" fillId="0" borderId="10"/>
    <xf numFmtId="9" fontId="158" fillId="0" borderId="0" applyFont="0" applyFill="0" applyBorder="0" applyAlignment="0" applyProtection="0"/>
    <xf numFmtId="10" fontId="13" fillId="0" borderId="1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3" fillId="0" borderId="10"/>
    <xf numFmtId="9" fontId="68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1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33" borderId="0"/>
    <xf numFmtId="10" fontId="13" fillId="33" borderId="0"/>
    <xf numFmtId="10" fontId="13" fillId="33" borderId="0"/>
    <xf numFmtId="10" fontId="13" fillId="33" borderId="0"/>
    <xf numFmtId="10" fontId="13" fillId="33" borderId="0"/>
    <xf numFmtId="10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192" fontId="13" fillId="33" borderId="0"/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184" fontId="13" fillId="0" borderId="0" applyFont="0" applyFill="0" applyAlignment="0">
      <alignment horizontal="right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59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60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3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3" borderId="93" applyNumberFormat="0">
      <protection locked="0"/>
    </xf>
    <xf numFmtId="0" fontId="13" fillId="43" borderId="93" applyNumberFormat="0">
      <protection locked="0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0" fontId="13" fillId="46" borderId="95" applyNumberFormat="0" applyProtection="0">
      <alignment horizontal="left" vertical="center" indent="1"/>
    </xf>
    <xf numFmtId="39" fontId="13" fillId="62" borderId="0"/>
    <xf numFmtId="39" fontId="13" fillId="62" borderId="0"/>
    <xf numFmtId="39" fontId="13" fillId="62" borderId="0"/>
    <xf numFmtId="39" fontId="13" fillId="62" borderId="0"/>
    <xf numFmtId="39" fontId="13" fillId="62" borderId="0"/>
    <xf numFmtId="39" fontId="13" fillId="62" borderId="0"/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3" fontId="13" fillId="0" borderId="0">
      <alignment horizontal="left" wrapText="1"/>
    </xf>
    <xf numFmtId="181" fontId="13" fillId="0" borderId="0">
      <alignment horizontal="left" wrapText="1"/>
    </xf>
    <xf numFmtId="181" fontId="13" fillId="0" borderId="0">
      <alignment horizontal="left" wrapText="1"/>
    </xf>
    <xf numFmtId="167" fontId="13" fillId="0" borderId="0">
      <alignment horizontal="left" wrapText="1"/>
    </xf>
    <xf numFmtId="0" fontId="106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5" fillId="0" borderId="102" applyNumberFormat="0" applyFill="0" applyAlignment="0" applyProtection="0"/>
    <xf numFmtId="0" fontId="135" fillId="0" borderId="102" applyNumberFormat="0" applyFill="0" applyAlignment="0" applyProtection="0"/>
    <xf numFmtId="0" fontId="135" fillId="0" borderId="102" applyNumberFormat="0" applyFill="0" applyAlignment="0" applyProtection="0"/>
    <xf numFmtId="0" fontId="135" fillId="0" borderId="102" applyNumberFormat="0" applyFill="0" applyAlignment="0" applyProtection="0"/>
  </cellStyleXfs>
  <cellXfs count="1516">
    <xf numFmtId="0" fontId="0" fillId="0" borderId="0" xfId="0" applyNumberFormat="1" applyAlignment="1"/>
    <xf numFmtId="0" fontId="8" fillId="0" borderId="0" xfId="0" applyNumberFormat="1" applyFont="1" applyFill="1" applyAlignment="1">
      <alignment horizontal="right"/>
    </xf>
    <xf numFmtId="41" fontId="7" fillId="0" borderId="0" xfId="2464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41" fontId="7" fillId="0" borderId="19" xfId="0" applyNumberFormat="1" applyFont="1" applyFill="1" applyBorder="1" applyAlignment="1" applyProtection="1">
      <protection locked="0"/>
    </xf>
    <xf numFmtId="42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fill"/>
    </xf>
    <xf numFmtId="2" fontId="8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fill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Continuous"/>
    </xf>
    <xf numFmtId="0" fontId="7" fillId="0" borderId="19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2" fontId="7" fillId="0" borderId="0" xfId="0" quotePrefix="1" applyNumberFormat="1" applyFont="1" applyFill="1" applyAlignment="1">
      <alignment horizontal="left"/>
    </xf>
    <xf numFmtId="1" fontId="7" fillId="0" borderId="0" xfId="0" quotePrefix="1" applyNumberFormat="1" applyFont="1" applyFill="1" applyAlignment="1">
      <alignment horizontal="left"/>
    </xf>
    <xf numFmtId="42" fontId="7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/>
    </xf>
    <xf numFmtId="42" fontId="7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8" fillId="0" borderId="19" xfId="0" quotePrefix="1" applyNumberFormat="1" applyFont="1" applyFill="1" applyBorder="1" applyAlignment="1">
      <alignment horizontal="center"/>
    </xf>
    <xf numFmtId="171" fontId="7" fillId="0" borderId="0" xfId="0" applyNumberFormat="1" applyFont="1" applyFill="1" applyAlignment="1" applyProtection="1">
      <protection locked="0"/>
    </xf>
    <xf numFmtId="41" fontId="7" fillId="0" borderId="0" xfId="0" applyNumberFormat="1" applyFont="1" applyFill="1" applyAlignment="1" applyProtection="1"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71" fontId="8" fillId="0" borderId="0" xfId="0" applyNumberFormat="1" applyFont="1" applyFill="1" applyAlignment="1">
      <alignment horizontal="centerContinuous"/>
    </xf>
    <xf numFmtId="171" fontId="8" fillId="0" borderId="19" xfId="0" applyNumberFormat="1" applyFont="1" applyFill="1" applyBorder="1" applyAlignment="1">
      <alignment horizontal="center"/>
    </xf>
    <xf numFmtId="0" fontId="8" fillId="0" borderId="19" xfId="0" quotePrefix="1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 applyProtection="1">
      <alignment horizontal="center" wrapText="1"/>
      <protection locked="0"/>
    </xf>
    <xf numFmtId="0" fontId="8" fillId="0" borderId="0" xfId="0" quotePrefix="1" applyNumberFormat="1" applyFont="1" applyFill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3" fontId="7" fillId="0" borderId="0" xfId="2464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19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left"/>
    </xf>
    <xf numFmtId="3" fontId="8" fillId="0" borderId="0" xfId="2464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19" xfId="2464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179" fontId="7" fillId="0" borderId="19" xfId="2535" applyNumberFormat="1" applyFont="1" applyFill="1" applyBorder="1" applyAlignment="1" applyProtection="1">
      <protection locked="0"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41" fontId="7" fillId="0" borderId="19" xfId="2464" applyNumberFormat="1" applyFont="1" applyFill="1" applyBorder="1" applyAlignment="1" applyProtection="1">
      <protection locked="0"/>
    </xf>
    <xf numFmtId="9" fontId="7" fillId="0" borderId="0" xfId="2837" applyFont="1" applyFill="1" applyAlignment="1">
      <alignment horizontal="center"/>
    </xf>
    <xf numFmtId="171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 applyProtection="1">
      <protection locked="0"/>
    </xf>
    <xf numFmtId="9" fontId="7" fillId="0" borderId="0" xfId="2837" applyFont="1" applyFill="1" applyBorder="1" applyAlignment="1" applyProtection="1">
      <protection locked="0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177" fontId="14" fillId="0" borderId="0" xfId="0" applyNumberFormat="1" applyFont="1" applyFill="1" applyAlignment="1" applyProtection="1">
      <alignment horizontal="left"/>
    </xf>
    <xf numFmtId="4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/>
    <xf numFmtId="0" fontId="8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/>
    <xf numFmtId="15" fontId="7" fillId="0" borderId="0" xfId="0" applyNumberFormat="1" applyFont="1" applyFill="1" applyAlignment="1"/>
    <xf numFmtId="3" fontId="7" fillId="0" borderId="0" xfId="2464" applyNumberFormat="1" applyFont="1" applyFill="1" applyAlignment="1"/>
    <xf numFmtId="171" fontId="7" fillId="0" borderId="0" xfId="0" applyNumberFormat="1" applyFont="1" applyFill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49" fontId="7" fillId="0" borderId="0" xfId="0" applyNumberFormat="1" applyFont="1" applyFill="1" applyAlignment="1"/>
    <xf numFmtId="1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171" fontId="8" fillId="0" borderId="0" xfId="0" applyNumberFormat="1" applyFont="1" applyFill="1" applyAlignment="1"/>
    <xf numFmtId="2" fontId="8" fillId="0" borderId="0" xfId="0" applyNumberFormat="1" applyFont="1" applyFill="1" applyAlignment="1"/>
    <xf numFmtId="0" fontId="0" fillId="0" borderId="0" xfId="0" applyNumberFormat="1" applyFill="1" applyAlignment="1"/>
    <xf numFmtId="3" fontId="8" fillId="0" borderId="0" xfId="2464" applyNumberFormat="1" applyFont="1" applyFill="1" applyAlignment="1"/>
    <xf numFmtId="0" fontId="8" fillId="0" borderId="0" xfId="0" applyNumberFormat="1" applyFont="1" applyFill="1" applyBorder="1" applyAlignment="1"/>
    <xf numFmtId="49" fontId="8" fillId="0" borderId="0" xfId="0" applyNumberFormat="1" applyFont="1" applyFill="1" applyAlignment="1"/>
    <xf numFmtId="0" fontId="8" fillId="0" borderId="19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Alignment="1"/>
    <xf numFmtId="0" fontId="7" fillId="0" borderId="19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2" fontId="7" fillId="0" borderId="0" xfId="2535" applyNumberFormat="1" applyFont="1" applyFill="1" applyAlignment="1" applyProtection="1">
      <protection locked="0"/>
    </xf>
    <xf numFmtId="0" fontId="9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0" xfId="0" applyNumberFormat="1" applyFont="1" applyFill="1" applyAlignment="1"/>
    <xf numFmtId="171" fontId="7" fillId="0" borderId="0" xfId="0" applyNumberFormat="1" applyFont="1" applyFill="1" applyBorder="1" applyAlignment="1"/>
    <xf numFmtId="42" fontId="7" fillId="0" borderId="0" xfId="2464" applyNumberFormat="1" applyFont="1" applyFill="1" applyAlignment="1"/>
    <xf numFmtId="37" fontId="7" fillId="0" borderId="0" xfId="0" applyNumberFormat="1" applyFont="1" applyFill="1" applyAlignment="1"/>
    <xf numFmtId="42" fontId="7" fillId="0" borderId="0" xfId="2535" applyNumberFormat="1" applyFont="1" applyFill="1" applyBorder="1" applyAlignment="1"/>
    <xf numFmtId="42" fontId="7" fillId="0" borderId="0" xfId="0" applyNumberFormat="1" applyFont="1" applyFill="1" applyBorder="1" applyAlignment="1"/>
    <xf numFmtId="175" fontId="7" fillId="0" borderId="0" xfId="0" applyNumberFormat="1" applyFont="1" applyFill="1" applyBorder="1" applyAlignment="1"/>
    <xf numFmtId="42" fontId="14" fillId="0" borderId="0" xfId="2535" applyNumberFormat="1" applyFont="1" applyFill="1" applyAlignment="1" applyProtection="1">
      <protection locked="0"/>
    </xf>
    <xf numFmtId="37" fontId="7" fillId="0" borderId="0" xfId="2464" applyNumberFormat="1" applyFont="1" applyFill="1" applyAlignment="1"/>
    <xf numFmtId="41" fontId="7" fillId="0" borderId="19" xfId="2464" applyNumberFormat="1" applyFont="1" applyFill="1" applyBorder="1" applyAlignment="1"/>
    <xf numFmtId="37" fontId="7" fillId="0" borderId="0" xfId="0" applyNumberFormat="1" applyFont="1" applyFill="1" applyBorder="1" applyAlignment="1"/>
    <xf numFmtId="37" fontId="7" fillId="0" borderId="0" xfId="0" applyNumberFormat="1" applyFont="1" applyFill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42" fontId="7" fillId="0" borderId="0" xfId="2464" applyNumberFormat="1" applyFont="1" applyFill="1" applyBorder="1" applyAlignment="1"/>
    <xf numFmtId="17" fontId="7" fillId="0" borderId="0" xfId="0" applyNumberFormat="1" applyFont="1" applyFill="1" applyAlignment="1"/>
    <xf numFmtId="174" fontId="7" fillId="0" borderId="0" xfId="2464" applyNumberFormat="1" applyFont="1" applyFill="1" applyBorder="1" applyAlignment="1"/>
    <xf numFmtId="174" fontId="7" fillId="0" borderId="0" xfId="2464" applyNumberFormat="1" applyFont="1" applyFill="1" applyAlignment="1"/>
    <xf numFmtId="41" fontId="7" fillId="0" borderId="20" xfId="0" applyNumberFormat="1" applyFont="1" applyFill="1" applyBorder="1" applyAlignment="1" applyProtection="1">
      <protection locked="0"/>
    </xf>
    <xf numFmtId="41" fontId="7" fillId="0" borderId="19" xfId="0" applyNumberFormat="1" applyFont="1" applyFill="1" applyBorder="1" applyAlignment="1"/>
    <xf numFmtId="42" fontId="7" fillId="0" borderId="20" xfId="2535" applyNumberFormat="1" applyFont="1" applyFill="1" applyBorder="1" applyAlignment="1" applyProtection="1">
      <protection locked="0"/>
    </xf>
    <xf numFmtId="41" fontId="7" fillId="0" borderId="0" xfId="2464" applyNumberFormat="1" applyFont="1" applyFill="1" applyAlignment="1"/>
    <xf numFmtId="41" fontId="7" fillId="0" borderId="0" xfId="2464" applyNumberFormat="1" applyFont="1" applyFill="1" applyBorder="1" applyAlignment="1"/>
    <xf numFmtId="41" fontId="7" fillId="0" borderId="0" xfId="0" applyNumberFormat="1" applyFont="1" applyFill="1" applyBorder="1" applyAlignment="1"/>
    <xf numFmtId="42" fontId="7" fillId="0" borderId="20" xfId="0" applyNumberFormat="1" applyFont="1" applyFill="1" applyBorder="1" applyAlignment="1"/>
    <xf numFmtId="41" fontId="7" fillId="0" borderId="20" xfId="0" applyNumberFormat="1" applyFont="1" applyFill="1" applyBorder="1" applyAlignment="1"/>
    <xf numFmtId="169" fontId="7" fillId="0" borderId="0" xfId="0" applyNumberFormat="1" applyFont="1" applyFill="1" applyBorder="1" applyAlignment="1"/>
    <xf numFmtId="9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20" xfId="0" applyNumberFormat="1" applyFont="1" applyFill="1" applyBorder="1" applyAlignment="1"/>
    <xf numFmtId="9" fontId="7" fillId="0" borderId="0" xfId="2837" applyFont="1" applyFill="1" applyAlignment="1"/>
    <xf numFmtId="1" fontId="7" fillId="0" borderId="0" xfId="0" applyNumberFormat="1" applyFont="1" applyFill="1" applyAlignment="1"/>
    <xf numFmtId="174" fontId="7" fillId="0" borderId="0" xfId="0" applyNumberFormat="1" applyFont="1" applyFill="1" applyAlignment="1"/>
    <xf numFmtId="174" fontId="7" fillId="0" borderId="19" xfId="2464" applyNumberFormat="1" applyFont="1" applyFill="1" applyBorder="1" applyAlignment="1" applyProtection="1">
      <protection locked="0"/>
    </xf>
    <xf numFmtId="174" fontId="7" fillId="0" borderId="19" xfId="2464" applyNumberFormat="1" applyFont="1" applyFill="1" applyBorder="1" applyAlignment="1"/>
    <xf numFmtId="37" fontId="7" fillId="0" borderId="0" xfId="2464" applyNumberFormat="1" applyFont="1" applyFill="1" applyBorder="1" applyAlignment="1"/>
    <xf numFmtId="4" fontId="7" fillId="0" borderId="0" xfId="2464" applyFont="1" applyFill="1" applyAlignment="1"/>
    <xf numFmtId="175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10" fontId="7" fillId="0" borderId="20" xfId="0" applyNumberFormat="1" applyFont="1" applyFill="1" applyBorder="1" applyAlignment="1"/>
    <xf numFmtId="0" fontId="12" fillId="0" borderId="0" xfId="0" applyNumberFormat="1" applyFont="1" applyFill="1" applyAlignment="1">
      <alignment horizontal="centerContinuous"/>
    </xf>
    <xf numFmtId="3" fontId="15" fillId="0" borderId="0" xfId="2464" applyNumberFormat="1" applyFont="1" applyFill="1" applyAlignment="1"/>
    <xf numFmtId="3" fontId="7" fillId="0" borderId="0" xfId="2464" applyNumberFormat="1" applyFont="1" applyFill="1" applyBorder="1" applyAlignment="1"/>
    <xf numFmtId="0" fontId="7" fillId="0" borderId="0" xfId="2799" applyFont="1" applyFill="1" applyAlignment="1"/>
    <xf numFmtId="37" fontId="7" fillId="0" borderId="0" xfId="2799" applyNumberFormat="1" applyFont="1" applyFill="1" applyAlignment="1"/>
    <xf numFmtId="0" fontId="20" fillId="0" borderId="0" xfId="2803" applyFont="1"/>
    <xf numFmtId="0" fontId="13" fillId="0" borderId="0" xfId="2803"/>
    <xf numFmtId="0" fontId="13" fillId="0" borderId="0" xfId="2803" applyAlignment="1">
      <alignment horizontal="centerContinuous"/>
    </xf>
    <xf numFmtId="0" fontId="13" fillId="0" borderId="0" xfId="2803" applyAlignment="1">
      <alignment horizontal="center"/>
    </xf>
    <xf numFmtId="0" fontId="13" fillId="0" borderId="19" xfId="2803" applyBorder="1" applyAlignment="1">
      <alignment horizontal="center"/>
    </xf>
    <xf numFmtId="0" fontId="13" fillId="0" borderId="0" xfId="2803" applyFill="1"/>
    <xf numFmtId="0" fontId="13" fillId="0" borderId="0" xfId="2803" applyAlignment="1">
      <alignment horizontal="left" indent="1"/>
    </xf>
    <xf numFmtId="0" fontId="13" fillId="0" borderId="0" xfId="2803" applyAlignment="1">
      <alignment horizontal="left" indent="2"/>
    </xf>
    <xf numFmtId="0" fontId="13" fillId="0" borderId="0" xfId="2803" applyAlignment="1">
      <alignment horizontal="left" indent="3"/>
    </xf>
    <xf numFmtId="0" fontId="16" fillId="0" borderId="0" xfId="2803" applyFont="1" applyAlignment="1">
      <alignment horizontal="right"/>
    </xf>
    <xf numFmtId="41" fontId="7" fillId="0" borderId="20" xfId="2464" applyNumberFormat="1" applyFont="1" applyFill="1" applyBorder="1" applyAlignment="1"/>
    <xf numFmtId="0" fontId="32" fillId="0" borderId="0" xfId="2794" applyFont="1" applyAlignment="1">
      <alignment horizontal="centerContinuous"/>
    </xf>
    <xf numFmtId="0" fontId="23" fillId="0" borderId="0" xfId="2794" applyAlignment="1">
      <alignment horizontal="centerContinuous"/>
    </xf>
    <xf numFmtId="0" fontId="33" fillId="0" borderId="0" xfId="2794" applyFont="1" applyAlignment="1">
      <alignment horizontal="centerContinuous"/>
    </xf>
    <xf numFmtId="0" fontId="33" fillId="0" borderId="0" xfId="2794" applyFont="1"/>
    <xf numFmtId="0" fontId="23" fillId="0" borderId="0" xfId="2794"/>
    <xf numFmtId="0" fontId="34" fillId="0" borderId="0" xfId="2794" applyFont="1" applyAlignment="1">
      <alignment horizontal="centerContinuous"/>
    </xf>
    <xf numFmtId="0" fontId="32" fillId="0" borderId="0" xfId="2794" applyFont="1"/>
    <xf numFmtId="0" fontId="32" fillId="0" borderId="19" xfId="2794" applyFont="1" applyFill="1" applyBorder="1" applyAlignment="1">
      <alignment horizontal="center" wrapText="1"/>
    </xf>
    <xf numFmtId="0" fontId="32" fillId="0" borderId="0" xfId="2794" applyFont="1" applyFill="1" applyBorder="1" applyAlignment="1">
      <alignment horizontal="center" wrapText="1"/>
    </xf>
    <xf numFmtId="0" fontId="34" fillId="0" borderId="0" xfId="2794" applyFont="1"/>
    <xf numFmtId="0" fontId="33" fillId="0" borderId="0" xfId="2794" applyFont="1" applyFill="1" applyAlignment="1">
      <alignment horizontal="left"/>
    </xf>
    <xf numFmtId="44" fontId="33" fillId="0" borderId="0" xfId="2794" applyNumberFormat="1" applyFont="1" applyBorder="1"/>
    <xf numFmtId="0" fontId="33" fillId="0" borderId="0" xfId="2794" applyFont="1" applyAlignment="1">
      <alignment horizontal="left"/>
    </xf>
    <xf numFmtId="43" fontId="33" fillId="0" borderId="0" xfId="2794" applyNumberFormat="1" applyFont="1" applyBorder="1"/>
    <xf numFmtId="0" fontId="32" fillId="0" borderId="17" xfId="2794" applyFont="1" applyFill="1" applyBorder="1" applyAlignment="1">
      <alignment horizontal="center" wrapText="1"/>
    </xf>
    <xf numFmtId="0" fontId="34" fillId="0" borderId="0" xfId="2794" applyFont="1" applyBorder="1"/>
    <xf numFmtId="0" fontId="32" fillId="0" borderId="19" xfId="2794" applyFont="1" applyBorder="1" applyAlignment="1">
      <alignment horizontal="centerContinuous"/>
    </xf>
    <xf numFmtId="0" fontId="32" fillId="0" borderId="26" xfId="2794" applyFont="1" applyBorder="1" applyAlignment="1">
      <alignment horizontal="centerContinuous"/>
    </xf>
    <xf numFmtId="44" fontId="33" fillId="0" borderId="0" xfId="2566" applyFont="1" applyFill="1" applyAlignment="1">
      <alignment horizontal="right"/>
    </xf>
    <xf numFmtId="43" fontId="33" fillId="0" borderId="0" xfId="2508" applyFont="1" applyFill="1" applyAlignment="1">
      <alignment horizontal="right"/>
    </xf>
    <xf numFmtId="43" fontId="33" fillId="0" borderId="20" xfId="2508" applyFont="1" applyFill="1" applyBorder="1" applyAlignment="1">
      <alignment horizontal="right"/>
    </xf>
    <xf numFmtId="44" fontId="33" fillId="0" borderId="18" xfId="2566" applyFont="1" applyFill="1" applyBorder="1" applyAlignment="1">
      <alignment horizontal="right"/>
    </xf>
    <xf numFmtId="0" fontId="33" fillId="0" borderId="17" xfId="2794" applyFont="1" applyBorder="1"/>
    <xf numFmtId="0" fontId="20" fillId="0" borderId="0" xfId="2806" applyFont="1"/>
    <xf numFmtId="0" fontId="13" fillId="0" borderId="0" xfId="2806"/>
    <xf numFmtId="43" fontId="13" fillId="0" borderId="0" xfId="2806" applyNumberFormat="1"/>
    <xf numFmtId="0" fontId="28" fillId="0" borderId="0" xfId="2806" applyFont="1" applyAlignment="1">
      <alignment vertical="center"/>
    </xf>
    <xf numFmtId="0" fontId="21" fillId="0" borderId="27" xfId="2806" applyFont="1" applyBorder="1" applyAlignment="1">
      <alignment horizontal="center"/>
    </xf>
    <xf numFmtId="0" fontId="21" fillId="0" borderId="28" xfId="2806" applyFont="1" applyBorder="1" applyAlignment="1">
      <alignment horizontal="center"/>
    </xf>
    <xf numFmtId="0" fontId="21" fillId="0" borderId="28" xfId="2806" applyFont="1" applyBorder="1" applyAlignment="1">
      <alignment horizontal="center" wrapText="1"/>
    </xf>
    <xf numFmtId="0" fontId="21" fillId="0" borderId="29" xfId="2806" applyFont="1" applyBorder="1" applyAlignment="1">
      <alignment horizontal="center"/>
    </xf>
    <xf numFmtId="0" fontId="13" fillId="0" borderId="15" xfId="2806" applyBorder="1"/>
    <xf numFmtId="0" fontId="13" fillId="0" borderId="15" xfId="2515" applyNumberFormat="1" applyFont="1" applyBorder="1" applyAlignment="1">
      <alignment vertical="top" wrapText="1"/>
    </xf>
    <xf numFmtId="175" fontId="13" fillId="0" borderId="15" xfId="2570" applyNumberFormat="1" applyBorder="1" applyAlignment="1">
      <alignment vertical="top"/>
    </xf>
    <xf numFmtId="174" fontId="13" fillId="0" borderId="15" xfId="2515" applyNumberFormat="1" applyBorder="1" applyAlignment="1">
      <alignment vertical="top"/>
    </xf>
    <xf numFmtId="0" fontId="13" fillId="0" borderId="30" xfId="2515" applyNumberFormat="1" applyFont="1" applyBorder="1" applyAlignment="1">
      <alignment vertical="top" wrapText="1"/>
    </xf>
    <xf numFmtId="0" fontId="13" fillId="0" borderId="31" xfId="2806" applyBorder="1"/>
    <xf numFmtId="0" fontId="21" fillId="0" borderId="4" xfId="2806" applyFont="1" applyBorder="1"/>
    <xf numFmtId="175" fontId="21" fillId="0" borderId="9" xfId="2570" applyNumberFormat="1" applyFont="1" applyBorder="1"/>
    <xf numFmtId="43" fontId="13" fillId="0" borderId="32" xfId="2515" applyBorder="1"/>
    <xf numFmtId="0" fontId="13" fillId="0" borderId="0" xfId="2806" applyBorder="1"/>
    <xf numFmtId="0" fontId="21" fillId="0" borderId="0" xfId="2806" applyFont="1" applyBorder="1"/>
    <xf numFmtId="175" fontId="35" fillId="0" borderId="0" xfId="2570" applyNumberFormat="1" applyFont="1" applyBorder="1"/>
    <xf numFmtId="43" fontId="13" fillId="0" borderId="0" xfId="2515" applyBorder="1"/>
    <xf numFmtId="43" fontId="13" fillId="0" borderId="0" xfId="2515"/>
    <xf numFmtId="0" fontId="20" fillId="0" borderId="0" xfId="2806" applyFont="1" applyAlignment="1"/>
    <xf numFmtId="174" fontId="7" fillId="0" borderId="0" xfId="0" applyNumberFormat="1" applyFont="1" applyFill="1" applyBorder="1" applyAlignment="1"/>
    <xf numFmtId="41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left"/>
    </xf>
    <xf numFmtId="44" fontId="7" fillId="0" borderId="0" xfId="0" applyNumberFormat="1" applyFont="1" applyFill="1" applyAlignment="1"/>
    <xf numFmtId="0" fontId="7" fillId="0" borderId="0" xfId="0" quotePrefix="1" applyNumberFormat="1" applyFont="1" applyFill="1" applyAlignment="1">
      <alignment horizontal="right"/>
    </xf>
    <xf numFmtId="0" fontId="13" fillId="0" borderId="0" xfId="2795"/>
    <xf numFmtId="41" fontId="13" fillId="0" borderId="0" xfId="2511" applyNumberFormat="1"/>
    <xf numFmtId="0" fontId="8" fillId="0" borderId="0" xfId="2795" applyFont="1" applyFill="1" applyBorder="1" applyAlignment="1">
      <alignment horizontal="center"/>
    </xf>
    <xf numFmtId="0" fontId="13" fillId="0" borderId="0" xfId="2795" applyAlignment="1">
      <alignment horizontal="center"/>
    </xf>
    <xf numFmtId="0" fontId="13" fillId="0" borderId="19" xfId="2795" applyBorder="1" applyAlignment="1">
      <alignment horizontal="center"/>
    </xf>
    <xf numFmtId="0" fontId="13" fillId="0" borderId="0" xfId="2795" applyBorder="1" applyAlignment="1">
      <alignment horizontal="center"/>
    </xf>
    <xf numFmtId="41" fontId="13" fillId="0" borderId="0" xfId="2511" applyNumberFormat="1" applyBorder="1"/>
    <xf numFmtId="0" fontId="16" fillId="0" borderId="0" xfId="2795" applyFont="1"/>
    <xf numFmtId="0" fontId="8" fillId="0" borderId="0" xfId="0" applyNumberFormat="1" applyFont="1" applyFill="1" applyAlignment="1">
      <alignment horizontal="centerContinuous" vertical="center"/>
    </xf>
    <xf numFmtId="9" fontId="7" fillId="0" borderId="0" xfId="0" applyNumberFormat="1" applyFont="1" applyFill="1" applyBorder="1" applyAlignment="1"/>
    <xf numFmtId="42" fontId="7" fillId="0" borderId="0" xfId="2464" applyNumberFormat="1" applyFont="1" applyFill="1" applyAlignment="1" applyProtection="1">
      <alignment horizontal="right"/>
      <protection locked="0"/>
    </xf>
    <xf numFmtId="41" fontId="7" fillId="0" borderId="0" xfId="2464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183" fontId="7" fillId="0" borderId="0" xfId="0" applyFont="1" applyFill="1" applyAlignment="1"/>
    <xf numFmtId="183" fontId="8" fillId="0" borderId="0" xfId="0" applyFont="1" applyFill="1" applyAlignment="1" applyProtection="1">
      <alignment horizontal="centerContinuous"/>
      <protection locked="0"/>
    </xf>
    <xf numFmtId="183" fontId="8" fillId="0" borderId="0" xfId="0" applyFont="1" applyFill="1" applyAlignment="1">
      <alignment horizontal="centerContinuous"/>
    </xf>
    <xf numFmtId="183" fontId="8" fillId="0" borderId="0" xfId="0" applyFont="1" applyFill="1" applyAlignment="1" applyProtection="1">
      <alignment horizontal="center"/>
      <protection locked="0"/>
    </xf>
    <xf numFmtId="183" fontId="8" fillId="0" borderId="0" xfId="0" applyFont="1" applyFill="1" applyAlignment="1">
      <alignment horizontal="center"/>
    </xf>
    <xf numFmtId="183" fontId="8" fillId="0" borderId="19" xfId="0" applyFont="1" applyFill="1" applyBorder="1" applyAlignment="1">
      <alignment horizontal="center"/>
    </xf>
    <xf numFmtId="42" fontId="14" fillId="0" borderId="20" xfId="2535" applyNumberFormat="1" applyFont="1" applyFill="1" applyBorder="1" applyAlignment="1" applyProtection="1">
      <protection locked="0"/>
    </xf>
    <xf numFmtId="183" fontId="13" fillId="0" borderId="0" xfId="0" applyFont="1">
      <alignment horizontal="left" wrapText="1"/>
    </xf>
    <xf numFmtId="1" fontId="13" fillId="0" borderId="0" xfId="2802" applyNumberFormat="1" applyAlignment="1"/>
    <xf numFmtId="183" fontId="13" fillId="0" borderId="0" xfId="2802" applyAlignment="1"/>
    <xf numFmtId="183" fontId="13" fillId="0" borderId="0" xfId="2802" applyFill="1" applyAlignment="1"/>
    <xf numFmtId="183" fontId="29" fillId="0" borderId="0" xfId="2802" applyFont="1" applyAlignment="1"/>
    <xf numFmtId="183" fontId="21" fillId="0" borderId="0" xfId="2802" applyFont="1" applyAlignment="1">
      <alignment horizontal="center"/>
    </xf>
    <xf numFmtId="183" fontId="21" fillId="0" borderId="0" xfId="2802" applyFont="1" applyAlignment="1"/>
    <xf numFmtId="166" fontId="16" fillId="0" borderId="0" xfId="2837" applyNumberFormat="1" applyFont="1" applyFill="1" applyAlignment="1"/>
    <xf numFmtId="183" fontId="13" fillId="0" borderId="0" xfId="2802" applyFill="1" applyAlignment="1">
      <alignment horizontal="right"/>
    </xf>
    <xf numFmtId="183" fontId="13" fillId="0" borderId="0" xfId="2802" applyBorder="1" applyAlignment="1"/>
    <xf numFmtId="1" fontId="13" fillId="0" borderId="0" xfId="2802" applyNumberFormat="1" applyBorder="1" applyAlignment="1"/>
    <xf numFmtId="174" fontId="18" fillId="0" borderId="0" xfId="2464" applyNumberFormat="1" applyFont="1" applyFill="1" applyAlignment="1"/>
    <xf numFmtId="42" fontId="8" fillId="0" borderId="0" xfId="0" applyNumberFormat="1" applyFont="1" applyFill="1" applyAlignment="1" applyProtection="1">
      <alignment horizontal="center"/>
      <protection locked="0"/>
    </xf>
    <xf numFmtId="183" fontId="7" fillId="0" borderId="0" xfId="0" applyFont="1" applyFill="1" applyAlignment="1">
      <alignment horizontal="left"/>
    </xf>
    <xf numFmtId="183" fontId="7" fillId="0" borderId="0" xfId="0" applyFont="1" applyFill="1" applyAlignment="1">
      <alignment vertical="center"/>
    </xf>
    <xf numFmtId="183" fontId="7" fillId="0" borderId="0" xfId="0" applyFont="1" applyFill="1" applyAlignment="1">
      <alignment horizontal="left" vertical="center"/>
    </xf>
    <xf numFmtId="0" fontId="41" fillId="0" borderId="0" xfId="2803" applyFont="1" applyAlignment="1">
      <alignment horizontal="left" indent="2"/>
    </xf>
    <xf numFmtId="183" fontId="7" fillId="0" borderId="0" xfId="0" applyFont="1" applyAlignment="1">
      <alignment horizontal="left"/>
    </xf>
    <xf numFmtId="0" fontId="7" fillId="46" borderId="31" xfId="0" applyNumberFormat="1" applyFont="1" applyFill="1" applyBorder="1" applyAlignment="1"/>
    <xf numFmtId="0" fontId="7" fillId="46" borderId="4" xfId="0" applyNumberFormat="1" applyFont="1" applyFill="1" applyBorder="1" applyAlignment="1"/>
    <xf numFmtId="0" fontId="7" fillId="46" borderId="4" xfId="2464" applyNumberFormat="1" applyFont="1" applyFill="1" applyBorder="1" applyAlignment="1"/>
    <xf numFmtId="0" fontId="7" fillId="46" borderId="4" xfId="0" applyNumberFormat="1" applyFont="1" applyFill="1" applyBorder="1" applyAlignment="1" applyProtection="1">
      <protection locked="0"/>
    </xf>
    <xf numFmtId="0" fontId="7" fillId="46" borderId="4" xfId="2535" applyNumberFormat="1" applyFont="1" applyFill="1" applyBorder="1" applyAlignment="1"/>
    <xf numFmtId="0" fontId="13" fillId="0" borderId="0" xfId="2803" applyFont="1" applyAlignment="1">
      <alignment horizontal="left" indent="2"/>
    </xf>
    <xf numFmtId="0" fontId="31" fillId="0" borderId="0" xfId="2804" applyFont="1"/>
    <xf numFmtId="0" fontId="13" fillId="0" borderId="0" xfId="2804"/>
    <xf numFmtId="0" fontId="13" fillId="0" borderId="0" xfId="2804" applyAlignment="1">
      <alignment horizontal="center"/>
    </xf>
    <xf numFmtId="0" fontId="31" fillId="0" borderId="0" xfId="2804" applyFont="1" applyAlignment="1">
      <alignment horizontal="center"/>
    </xf>
    <xf numFmtId="41" fontId="7" fillId="0" borderId="0" xfId="0" applyNumberFormat="1" applyFont="1" applyFill="1" applyBorder="1" applyAlignment="1">
      <alignment horizontal="left"/>
    </xf>
    <xf numFmtId="183" fontId="7" fillId="0" borderId="0" xfId="0" quotePrefix="1" applyFont="1" applyFill="1" applyAlignment="1"/>
    <xf numFmtId="1" fontId="7" fillId="0" borderId="0" xfId="0" quotePrefix="1" applyNumberFormat="1" applyFont="1" applyFill="1" applyBorder="1" applyAlignment="1">
      <alignment horizontal="left"/>
    </xf>
    <xf numFmtId="41" fontId="7" fillId="0" borderId="0" xfId="0" quotePrefix="1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42" fontId="7" fillId="46" borderId="4" xfId="0" applyNumberFormat="1" applyFont="1" applyFill="1" applyBorder="1" applyAlignment="1"/>
    <xf numFmtId="175" fontId="21" fillId="0" borderId="0" xfId="2802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184" fontId="7" fillId="0" borderId="0" xfId="0" applyNumberFormat="1" applyFont="1" applyFill="1" applyAlignment="1"/>
    <xf numFmtId="183" fontId="25" fillId="0" borderId="0" xfId="2802" applyFont="1" applyAlignment="1">
      <alignment horizontal="centerContinuous"/>
    </xf>
    <xf numFmtId="183" fontId="27" fillId="0" borderId="0" xfId="2802" applyFont="1" applyAlignment="1">
      <alignment horizontal="centerContinuous"/>
    </xf>
    <xf numFmtId="183" fontId="31" fillId="0" borderId="0" xfId="2802" applyFont="1" applyFill="1" applyAlignment="1">
      <alignment horizontal="centerContinuous" vertical="top"/>
    </xf>
    <xf numFmtId="174" fontId="16" fillId="0" borderId="0" xfId="2464" applyNumberFormat="1" applyFont="1" applyFill="1" applyAlignment="1"/>
    <xf numFmtId="174" fontId="21" fillId="0" borderId="0" xfId="2464" applyNumberFormat="1" applyFont="1" applyFill="1" applyAlignment="1">
      <alignment horizontal="right"/>
    </xf>
    <xf numFmtId="174" fontId="18" fillId="0" borderId="0" xfId="2464" applyNumberFormat="1" applyFont="1" applyFill="1" applyAlignment="1">
      <alignment horizontal="right"/>
    </xf>
    <xf numFmtId="186" fontId="13" fillId="0" borderId="0" xfId="2802" applyNumberFormat="1" applyAlignment="1"/>
    <xf numFmtId="166" fontId="30" fillId="0" borderId="0" xfId="2837" applyNumberFormat="1" applyFont="1" applyFill="1" applyAlignment="1"/>
    <xf numFmtId="0" fontId="24" fillId="0" borderId="0" xfId="0" applyNumberFormat="1" applyFont="1" applyFill="1" applyAlignment="1">
      <alignment horizontal="left"/>
    </xf>
    <xf numFmtId="183" fontId="24" fillId="0" borderId="0" xfId="0" applyFont="1" applyFill="1" applyAlignment="1">
      <alignment horizontal="left"/>
    </xf>
    <xf numFmtId="174" fontId="7" fillId="0" borderId="0" xfId="0" applyNumberFormat="1" applyFont="1" applyFill="1" applyAlignment="1" applyProtection="1">
      <protection locked="0"/>
    </xf>
    <xf numFmtId="174" fontId="7" fillId="0" borderId="19" xfId="0" applyNumberFormat="1" applyFont="1" applyFill="1" applyBorder="1" applyAlignment="1"/>
    <xf numFmtId="0" fontId="18" fillId="0" borderId="0" xfId="2803" applyFont="1"/>
    <xf numFmtId="10" fontId="18" fillId="0" borderId="0" xfId="2837" applyNumberFormat="1" applyFont="1" applyFill="1"/>
    <xf numFmtId="0" fontId="18" fillId="0" borderId="0" xfId="2803" applyFont="1" applyFill="1"/>
    <xf numFmtId="175" fontId="18" fillId="0" borderId="0" xfId="2569" applyNumberFormat="1" applyFont="1" applyFill="1"/>
    <xf numFmtId="174" fontId="18" fillId="0" borderId="0" xfId="2513" applyNumberFormat="1" applyFont="1" applyFill="1"/>
    <xf numFmtId="0" fontId="17" fillId="0" borderId="0" xfId="0" applyNumberFormat="1" applyFont="1" applyAlignment="1"/>
    <xf numFmtId="0" fontId="0" fillId="46" borderId="4" xfId="0" applyNumberFormat="1" applyFill="1" applyBorder="1" applyAlignment="1"/>
    <xf numFmtId="183" fontId="7" fillId="0" borderId="0" xfId="0" applyFont="1" applyFill="1" applyAlignment="1">
      <alignment horizontal="left" wrapText="1"/>
    </xf>
    <xf numFmtId="4" fontId="17" fillId="0" borderId="0" xfId="2464" applyFont="1" applyAlignment="1"/>
    <xf numFmtId="0" fontId="7" fillId="0" borderId="0" xfId="0" applyNumberFormat="1" applyFont="1" applyFill="1" applyAlignment="1">
      <alignment horizontal="left" wrapText="1"/>
    </xf>
    <xf numFmtId="37" fontId="21" fillId="0" borderId="0" xfId="2792" applyFont="1" applyAlignment="1">
      <alignment horizontal="centerContinuous"/>
    </xf>
    <xf numFmtId="37" fontId="18" fillId="0" borderId="0" xfId="2792" applyFont="1" applyAlignment="1">
      <alignment horizontal="centerContinuous"/>
    </xf>
    <xf numFmtId="0" fontId="13" fillId="0" borderId="0" xfId="0" applyNumberFormat="1" applyFont="1" applyAlignment="1"/>
    <xf numFmtId="37" fontId="18" fillId="0" borderId="0" xfId="2792" applyFont="1"/>
    <xf numFmtId="37" fontId="32" fillId="0" borderId="9" xfId="2792" applyFont="1" applyBorder="1" applyAlignment="1">
      <alignment horizontal="center" wrapText="1"/>
    </xf>
    <xf numFmtId="43" fontId="32" fillId="0" borderId="9" xfId="2792" applyNumberFormat="1" applyFont="1" applyBorder="1" applyAlignment="1">
      <alignment horizontal="center" wrapText="1"/>
    </xf>
    <xf numFmtId="174" fontId="32" fillId="0" borderId="9" xfId="2792" applyNumberFormat="1" applyFont="1" applyBorder="1" applyAlignment="1">
      <alignment horizontal="center" wrapText="1"/>
    </xf>
    <xf numFmtId="37" fontId="21" fillId="0" borderId="0" xfId="2792" applyFont="1"/>
    <xf numFmtId="37" fontId="33" fillId="0" borderId="0" xfId="2792" applyFont="1" applyAlignment="1">
      <alignment horizontal="center"/>
    </xf>
    <xf numFmtId="37" fontId="33" fillId="0" borderId="0" xfId="2792" applyFont="1" applyAlignment="1">
      <alignment horizontal="left"/>
    </xf>
    <xf numFmtId="41" fontId="18" fillId="0" borderId="0" xfId="2509" applyNumberFormat="1" applyFont="1" applyBorder="1"/>
    <xf numFmtId="37" fontId="32" fillId="0" borderId="0" xfId="2792" applyFont="1" applyAlignment="1">
      <alignment horizontal="center"/>
    </xf>
    <xf numFmtId="37" fontId="32" fillId="0" borderId="0" xfId="2792" applyFont="1" applyAlignment="1">
      <alignment horizontal="left"/>
    </xf>
    <xf numFmtId="41" fontId="18" fillId="0" borderId="4" xfId="2509" applyNumberFormat="1" applyFont="1" applyBorder="1"/>
    <xf numFmtId="41" fontId="18" fillId="0" borderId="0" xfId="2509" applyNumberFormat="1" applyFont="1"/>
    <xf numFmtId="41" fontId="18" fillId="0" borderId="20" xfId="2509" applyNumberFormat="1" applyFont="1" applyBorder="1"/>
    <xf numFmtId="183" fontId="8" fillId="0" borderId="0" xfId="0" applyFont="1" applyFill="1" applyAlignment="1">
      <alignment horizontal="right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19" xfId="0" applyNumberFormat="1" applyFont="1" applyFill="1" applyBorder="1" applyAlignment="1">
      <alignment horizontal="center"/>
    </xf>
    <xf numFmtId="37" fontId="17" fillId="0" borderId="0" xfId="2464" applyNumberFormat="1" applyFont="1" applyFill="1" applyAlignment="1"/>
    <xf numFmtId="3" fontId="17" fillId="0" borderId="0" xfId="2464" applyNumberFormat="1" applyFont="1" applyFill="1" applyAlignment="1"/>
    <xf numFmtId="0" fontId="21" fillId="0" borderId="0" xfId="2797" applyFont="1" applyFill="1" applyAlignment="1" applyProtection="1">
      <protection locked="0"/>
    </xf>
    <xf numFmtId="42" fontId="7" fillId="0" borderId="41" xfId="0" applyNumberFormat="1" applyFont="1" applyFill="1" applyBorder="1" applyAlignment="1" applyProtection="1">
      <alignment horizontal="left" wrapText="1"/>
      <protection locked="0"/>
    </xf>
    <xf numFmtId="175" fontId="7" fillId="46" borderId="4" xfId="0" applyNumberFormat="1" applyFont="1" applyFill="1" applyBorder="1" applyAlignment="1"/>
    <xf numFmtId="183" fontId="7" fillId="0" borderId="0" xfId="0" applyFont="1" applyFill="1">
      <alignment horizontal="left" wrapText="1"/>
    </xf>
    <xf numFmtId="183" fontId="11" fillId="0" borderId="0" xfId="0" applyFont="1" applyFill="1" applyAlignment="1">
      <alignment horizontal="centerContinuous"/>
    </xf>
    <xf numFmtId="183" fontId="24" fillId="0" borderId="0" xfId="0" applyFont="1" applyFill="1" applyAlignment="1">
      <alignment horizontal="centerContinuous"/>
    </xf>
    <xf numFmtId="183" fontId="8" fillId="0" borderId="0" xfId="0" applyFont="1" applyFill="1">
      <alignment horizontal="left" wrapText="1"/>
    </xf>
    <xf numFmtId="183" fontId="7" fillId="0" borderId="0" xfId="0" applyFont="1" applyFill="1" applyAlignment="1">
      <alignment horizontal="center"/>
    </xf>
    <xf numFmtId="183" fontId="8" fillId="0" borderId="19" xfId="0" applyFont="1" applyFill="1" applyBorder="1">
      <alignment horizontal="left" wrapText="1"/>
    </xf>
    <xf numFmtId="183" fontId="9" fillId="0" borderId="0" xfId="0" applyFont="1" applyAlignment="1">
      <alignment horizontal="left"/>
    </xf>
    <xf numFmtId="183" fontId="7" fillId="0" borderId="0" xfId="0" applyFont="1" applyAlignment="1">
      <alignment horizontal="left" indent="2"/>
    </xf>
    <xf numFmtId="42" fontId="7" fillId="0" borderId="0" xfId="2464" applyNumberFormat="1" applyFont="1" applyFill="1" applyBorder="1"/>
    <xf numFmtId="41" fontId="7" fillId="0" borderId="0" xfId="2464" applyNumberFormat="1" applyFont="1"/>
    <xf numFmtId="183" fontId="8" fillId="0" borderId="19" xfId="0" applyFont="1" applyBorder="1" applyProtection="1">
      <alignment horizontal="left" wrapText="1"/>
      <protection locked="0"/>
    </xf>
    <xf numFmtId="183" fontId="8" fillId="0" borderId="19" xfId="0" applyFont="1" applyFill="1" applyBorder="1" applyAlignment="1" applyProtection="1">
      <alignment horizontal="center"/>
      <protection locked="0"/>
    </xf>
    <xf numFmtId="41" fontId="7" fillId="0" borderId="0" xfId="2464" applyNumberFormat="1" applyFont="1" applyFill="1" applyBorder="1"/>
    <xf numFmtId="41" fontId="7" fillId="0" borderId="19" xfId="2464" applyNumberFormat="1" applyFont="1" applyFill="1" applyBorder="1"/>
    <xf numFmtId="171" fontId="7" fillId="0" borderId="0" xfId="0" applyNumberFormat="1" applyFont="1" applyFill="1" applyBorder="1">
      <alignment horizontal="left" wrapText="1"/>
    </xf>
    <xf numFmtId="183" fontId="8" fillId="0" borderId="0" xfId="0" applyFont="1" applyFill="1" applyBorder="1" applyAlignment="1">
      <alignment horizontal="left"/>
    </xf>
    <xf numFmtId="183" fontId="8" fillId="0" borderId="0" xfId="0" applyFont="1" applyFill="1" applyAlignment="1">
      <alignment horizontal="centerContinuous" wrapText="1"/>
    </xf>
    <xf numFmtId="183" fontId="7" fillId="0" borderId="0" xfId="0" applyFont="1" applyAlignment="1">
      <alignment horizontal="left" indent="1"/>
    </xf>
    <xf numFmtId="183" fontId="8" fillId="0" borderId="0" xfId="0" applyFont="1" applyAlignment="1">
      <alignment horizontal="center"/>
    </xf>
    <xf numFmtId="183" fontId="8" fillId="0" borderId="0" xfId="0" applyFont="1" applyProtection="1">
      <alignment horizontal="left" wrapText="1"/>
      <protection locked="0"/>
    </xf>
    <xf numFmtId="183" fontId="8" fillId="0" borderId="19" xfId="0" applyFont="1" applyBorder="1" applyAlignment="1">
      <alignment horizontal="center"/>
    </xf>
    <xf numFmtId="183" fontId="7" fillId="0" borderId="0" xfId="0" quotePrefix="1" applyFont="1" applyBorder="1" applyAlignment="1">
      <alignment horizontal="left"/>
    </xf>
    <xf numFmtId="183" fontId="7" fillId="0" borderId="0" xfId="0" applyFont="1" applyBorder="1" applyAlignment="1">
      <alignment horizontal="left"/>
    </xf>
    <xf numFmtId="188" fontId="7" fillId="0" borderId="0" xfId="2837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 wrapText="1"/>
    </xf>
    <xf numFmtId="183" fontId="9" fillId="0" borderId="0" xfId="0" applyFont="1" applyBorder="1" applyAlignment="1">
      <alignment horizontal="left"/>
    </xf>
    <xf numFmtId="42" fontId="7" fillId="0" borderId="0" xfId="2464" applyNumberFormat="1" applyFont="1" applyFill="1"/>
    <xf numFmtId="41" fontId="7" fillId="0" borderId="0" xfId="2464" applyNumberFormat="1" applyFont="1" applyFill="1"/>
    <xf numFmtId="41" fontId="7" fillId="0" borderId="0" xfId="0" applyNumberFormat="1" applyFont="1" applyFill="1">
      <alignment horizontal="left" wrapText="1"/>
    </xf>
    <xf numFmtId="183" fontId="7" fillId="0" borderId="0" xfId="0" applyFont="1" applyFill="1" applyBorder="1">
      <alignment horizontal="left" wrapText="1"/>
    </xf>
    <xf numFmtId="0" fontId="7" fillId="0" borderId="0" xfId="0" applyNumberFormat="1" applyFont="1" applyFill="1" applyAlignment="1">
      <alignment horizontal="left" indent="2"/>
    </xf>
    <xf numFmtId="41" fontId="7" fillId="0" borderId="0" xfId="0" applyNumberFormat="1" applyFont="1" applyFill="1" applyAlignment="1">
      <alignment horizontal="fill"/>
    </xf>
    <xf numFmtId="37" fontId="7" fillId="0" borderId="0" xfId="2464" applyNumberFormat="1" applyFont="1" applyFill="1" applyBorder="1"/>
    <xf numFmtId="42" fontId="7" fillId="0" borderId="41" xfId="0" applyNumberFormat="1" applyFont="1" applyFill="1" applyBorder="1" applyProtection="1">
      <alignment horizontal="left" wrapText="1"/>
      <protection locked="0"/>
    </xf>
    <xf numFmtId="0" fontId="7" fillId="0" borderId="0" xfId="0" applyNumberFormat="1" applyFont="1" applyFill="1" applyAlignment="1">
      <alignment horizontal="left" vertical="center" indent="2"/>
    </xf>
    <xf numFmtId="173" fontId="7" fillId="0" borderId="0" xfId="2837" applyNumberFormat="1" applyFont="1" applyFill="1" applyBorder="1" applyAlignment="1">
      <alignment horizontal="right"/>
    </xf>
    <xf numFmtId="174" fontId="13" fillId="0" borderId="0" xfId="2464" applyNumberFormat="1" applyFont="1" applyFill="1" applyAlignment="1"/>
    <xf numFmtId="41" fontId="7" fillId="0" borderId="0" xfId="0" applyNumberFormat="1" applyFont="1" applyFill="1" applyAlignment="1">
      <alignment horizontal="center"/>
    </xf>
    <xf numFmtId="0" fontId="31" fillId="0" borderId="0" xfId="2802" applyNumberFormat="1" applyFont="1" applyFill="1" applyAlignment="1">
      <alignment horizontal="centerContinuous" vertical="top"/>
    </xf>
    <xf numFmtId="174" fontId="7" fillId="0" borderId="0" xfId="2464" applyNumberFormat="1" applyFont="1" applyFill="1" applyBorder="1"/>
    <xf numFmtId="0" fontId="23" fillId="0" borderId="0" xfId="2794" applyAlignment="1">
      <alignment horizontal="center"/>
    </xf>
    <xf numFmtId="0" fontId="23" fillId="0" borderId="17" xfId="2794" applyBorder="1" applyAlignment="1">
      <alignment horizontal="center"/>
    </xf>
    <xf numFmtId="183" fontId="7" fillId="0" borderId="0" xfId="0" applyFont="1" applyBorder="1" applyAlignment="1"/>
    <xf numFmtId="0" fontId="7" fillId="0" borderId="0" xfId="0" applyNumberFormat="1" applyFont="1" applyFill="1" applyAlignment="1">
      <alignment horizontal="left" indent="3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5" fontId="13" fillId="0" borderId="0" xfId="2806" applyNumberFormat="1"/>
    <xf numFmtId="174" fontId="7" fillId="0" borderId="0" xfId="2464" applyNumberFormat="1" applyFont="1" applyFill="1" applyBorder="1" applyAlignment="1" applyProtection="1">
      <protection locked="0"/>
    </xf>
    <xf numFmtId="42" fontId="0" fillId="46" borderId="4" xfId="0" applyNumberFormat="1" applyFill="1" applyBorder="1" applyAlignment="1"/>
    <xf numFmtId="41" fontId="13" fillId="0" borderId="0" xfId="2464" applyNumberFormat="1" applyFont="1"/>
    <xf numFmtId="41" fontId="38" fillId="0" borderId="0" xfId="2510" applyNumberFormat="1" applyFont="1"/>
    <xf numFmtId="164" fontId="7" fillId="0" borderId="0" xfId="0" applyNumberFormat="1" applyFont="1" applyFill="1" applyAlignment="1">
      <alignment horizontal="right"/>
    </xf>
    <xf numFmtId="41" fontId="22" fillId="0" borderId="0" xfId="2511" applyNumberFormat="1" applyFont="1" applyFill="1"/>
    <xf numFmtId="41" fontId="26" fillId="0" borderId="0" xfId="2511" applyNumberFormat="1" applyFont="1" applyFill="1" applyBorder="1"/>
    <xf numFmtId="14" fontId="30" fillId="0" borderId="0" xfId="2804" applyNumberFormat="1" applyFont="1" applyFill="1" applyAlignment="1">
      <alignment horizontal="left"/>
    </xf>
    <xf numFmtId="0" fontId="13" fillId="0" borderId="0" xfId="2804" applyFill="1" applyAlignment="1">
      <alignment horizontal="center"/>
    </xf>
    <xf numFmtId="0" fontId="13" fillId="0" borderId="19" xfId="2804" applyFill="1" applyBorder="1"/>
    <xf numFmtId="0" fontId="13" fillId="0" borderId="19" xfId="2804" applyFill="1" applyBorder="1" applyAlignment="1">
      <alignment horizontal="center"/>
    </xf>
    <xf numFmtId="0" fontId="13" fillId="0" borderId="0" xfId="2804" applyFill="1"/>
    <xf numFmtId="174" fontId="13" fillId="0" borderId="0" xfId="2804" applyNumberFormat="1" applyFill="1"/>
    <xf numFmtId="174" fontId="13" fillId="0" borderId="0" xfId="2514" applyNumberFormat="1" applyFont="1" applyFill="1" applyAlignment="1">
      <alignment horizontal="center"/>
    </xf>
    <xf numFmtId="0" fontId="18" fillId="0" borderId="0" xfId="2804" applyFont="1" applyFill="1" applyAlignment="1">
      <alignment horizontal="center"/>
    </xf>
    <xf numFmtId="0" fontId="13" fillId="0" borderId="0" xfId="2804" applyFill="1" applyAlignment="1">
      <alignment horizontal="right"/>
    </xf>
    <xf numFmtId="0" fontId="21" fillId="0" borderId="0" xfId="2804" applyFont="1" applyFill="1"/>
    <xf numFmtId="37" fontId="21" fillId="0" borderId="0" xfId="2792" quotePrefix="1" applyFont="1"/>
    <xf numFmtId="0" fontId="29" fillId="0" borderId="0" xfId="2797" applyFont="1" applyFill="1" applyAlignment="1" applyProtection="1">
      <protection locked="0"/>
    </xf>
    <xf numFmtId="183" fontId="13" fillId="0" borderId="0" xfId="2793">
      <alignment horizontal="left" wrapText="1"/>
    </xf>
    <xf numFmtId="174" fontId="32" fillId="0" borderId="9" xfId="2792" applyNumberFormat="1" applyFont="1" applyBorder="1" applyAlignment="1">
      <alignment horizontal="center" vertical="center" wrapText="1"/>
    </xf>
    <xf numFmtId="0" fontId="13" fillId="0" borderId="0" xfId="2793" applyNumberFormat="1" applyAlignment="1">
      <alignment horizontal="center" wrapText="1"/>
    </xf>
    <xf numFmtId="41" fontId="13" fillId="0" borderId="0" xfId="2793" applyNumberFormat="1">
      <alignment horizontal="left" wrapText="1"/>
    </xf>
    <xf numFmtId="42" fontId="21" fillId="0" borderId="41" xfId="0" applyNumberFormat="1" applyFont="1" applyBorder="1">
      <alignment horizontal="left" wrapText="1"/>
    </xf>
    <xf numFmtId="42" fontId="18" fillId="0" borderId="19" xfId="2509" applyNumberFormat="1" applyFont="1" applyBorder="1"/>
    <xf numFmtId="183" fontId="7" fillId="0" borderId="0" xfId="0" applyFont="1" applyFill="1" applyAlignment="1">
      <alignment horizontal="left" indent="2"/>
    </xf>
    <xf numFmtId="0" fontId="29" fillId="0" borderId="0" xfId="2793" applyNumberFormat="1" applyFont="1" applyAlignment="1">
      <alignment horizontal="left"/>
    </xf>
    <xf numFmtId="183" fontId="21" fillId="0" borderId="0" xfId="2793" applyFont="1" applyAlignment="1">
      <alignment horizontal="left"/>
    </xf>
    <xf numFmtId="41" fontId="18" fillId="0" borderId="0" xfId="2793" applyNumberFormat="1" applyFont="1">
      <alignment horizontal="left" wrapText="1"/>
    </xf>
    <xf numFmtId="43" fontId="18" fillId="0" borderId="0" xfId="0" applyNumberFormat="1" applyFont="1" applyFill="1" applyBorder="1">
      <alignment horizontal="left" wrapText="1"/>
    </xf>
    <xf numFmtId="42" fontId="21" fillId="0" borderId="4" xfId="2509" applyNumberFormat="1" applyFont="1" applyBorder="1"/>
    <xf numFmtId="42" fontId="21" fillId="0" borderId="19" xfId="0" applyNumberFormat="1" applyFont="1" applyBorder="1">
      <alignment horizontal="left" wrapText="1"/>
    </xf>
    <xf numFmtId="0" fontId="21" fillId="36" borderId="4" xfId="2792" applyNumberFormat="1" applyFont="1" applyFill="1" applyBorder="1" applyAlignment="1">
      <alignment horizontal="centerContinuous" vertical="center"/>
    </xf>
    <xf numFmtId="0" fontId="18" fillId="36" borderId="4" xfId="2792" applyNumberFormat="1" applyFont="1" applyFill="1" applyBorder="1" applyAlignment="1">
      <alignment horizontal="centerContinuous" vertical="center"/>
    </xf>
    <xf numFmtId="171" fontId="9" fillId="0" borderId="0" xfId="0" applyNumberFormat="1" applyFont="1" applyFill="1" applyBorder="1" applyAlignment="1"/>
    <xf numFmtId="41" fontId="7" fillId="0" borderId="4" xfId="2464" applyNumberFormat="1" applyFont="1" applyBorder="1"/>
    <xf numFmtId="183" fontId="7" fillId="0" borderId="0" xfId="0" applyFont="1" applyFill="1" applyAlignment="1">
      <alignment horizontal="left" indent="1"/>
    </xf>
    <xf numFmtId="0" fontId="7" fillId="0" borderId="0" xfId="0" applyNumberFormat="1" applyFont="1" applyFill="1" applyBorder="1" applyAlignment="1">
      <alignment horizontal="centerContinuous"/>
    </xf>
    <xf numFmtId="10" fontId="9" fillId="0" borderId="0" xfId="0" applyNumberFormat="1" applyFont="1" applyFill="1" applyAlignment="1">
      <alignment horizontal="center"/>
    </xf>
    <xf numFmtId="41" fontId="24" fillId="0" borderId="0" xfId="0" applyNumberFormat="1" applyFont="1" applyFill="1" applyBorder="1" applyAlignment="1"/>
    <xf numFmtId="42" fontId="24" fillId="0" borderId="0" xfId="0" applyNumberFormat="1" applyFont="1" applyFill="1" applyBorder="1" applyAlignment="1"/>
    <xf numFmtId="183" fontId="9" fillId="0" borderId="0" xfId="0" applyFont="1" applyFill="1" applyBorder="1" applyAlignment="1">
      <alignment horizontal="left" wrapText="1"/>
    </xf>
    <xf numFmtId="175" fontId="22" fillId="0" borderId="42" xfId="2802" applyNumberFormat="1" applyFont="1" applyFill="1" applyBorder="1" applyAlignment="1"/>
    <xf numFmtId="3" fontId="13" fillId="0" borderId="0" xfId="2464" applyNumberFormat="1" applyFont="1"/>
    <xf numFmtId="183" fontId="7" fillId="0" borderId="0" xfId="0" applyFont="1" applyFill="1" applyAlignment="1">
      <alignment horizontal="right"/>
    </xf>
    <xf numFmtId="42" fontId="24" fillId="0" borderId="0" xfId="0" applyNumberFormat="1" applyFont="1" applyFill="1" applyBorder="1" applyAlignment="1">
      <alignment horizontal="right"/>
    </xf>
    <xf numFmtId="37" fontId="7" fillId="0" borderId="19" xfId="0" applyNumberFormat="1" applyFont="1" applyFill="1" applyBorder="1" applyAlignment="1">
      <alignment horizontal="right"/>
    </xf>
    <xf numFmtId="42" fontId="7" fillId="0" borderId="0" xfId="2535" applyNumberFormat="1" applyFont="1" applyFill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0" xfId="2535" applyNumberFormat="1" applyFont="1" applyFill="1" applyAlignment="1"/>
    <xf numFmtId="42" fontId="7" fillId="0" borderId="19" xfId="2535" applyNumberFormat="1" applyFont="1" applyFill="1" applyBorder="1" applyAlignment="1"/>
    <xf numFmtId="41" fontId="7" fillId="0" borderId="19" xfId="2535" applyNumberFormat="1" applyFont="1" applyFill="1" applyBorder="1" applyAlignment="1"/>
    <xf numFmtId="42" fontId="7" fillId="0" borderId="41" xfId="2464" applyNumberFormat="1" applyFont="1" applyFill="1" applyBorder="1" applyAlignment="1"/>
    <xf numFmtId="174" fontId="18" fillId="0" borderId="4" xfId="2513" applyNumberFormat="1" applyFont="1" applyFill="1" applyBorder="1"/>
    <xf numFmtId="167" fontId="18" fillId="0" borderId="0" xfId="2837" applyNumberFormat="1" applyFont="1" applyFill="1"/>
    <xf numFmtId="41" fontId="14" fillId="0" borderId="0" xfId="2535" applyNumberFormat="1" applyFont="1" applyFill="1" applyBorder="1" applyAlignment="1" applyProtection="1">
      <protection locked="0"/>
    </xf>
    <xf numFmtId="170" fontId="7" fillId="0" borderId="19" xfId="0" applyNumberFormat="1" applyFont="1" applyFill="1" applyBorder="1" applyAlignment="1" applyProtection="1">
      <protection locked="0"/>
    </xf>
    <xf numFmtId="183" fontId="7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8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0" fontId="24" fillId="0" borderId="0" xfId="0" applyNumberFormat="1" applyFont="1" applyFill="1" applyBorder="1" applyAlignment="1"/>
    <xf numFmtId="170" fontId="7" fillId="0" borderId="0" xfId="0" applyNumberFormat="1" applyFont="1" applyFill="1" applyBorder="1" applyAlignment="1" applyProtection="1">
      <protection locked="0"/>
    </xf>
    <xf numFmtId="170" fontId="7" fillId="0" borderId="0" xfId="0" applyNumberFormat="1" applyFont="1" applyFill="1" applyBorder="1" applyAlignment="1"/>
    <xf numFmtId="0" fontId="7" fillId="0" borderId="33" xfId="0" applyNumberFormat="1" applyFont="1" applyFill="1" applyBorder="1" applyAlignment="1">
      <alignment horizontal="left"/>
    </xf>
    <xf numFmtId="0" fontId="8" fillId="0" borderId="0" xfId="0" quotePrefix="1" applyNumberFormat="1" applyFont="1" applyFill="1" applyAlignment="1">
      <alignment horizontal="centerContinuous" vertical="center"/>
    </xf>
    <xf numFmtId="183" fontId="7" fillId="0" borderId="0" xfId="0" applyFont="1" applyFill="1" applyBorder="1" applyAlignment="1">
      <alignment horizontal="center"/>
    </xf>
    <xf numFmtId="41" fontId="7" fillId="0" borderId="0" xfId="2535" applyNumberFormat="1" applyFont="1" applyFill="1" applyAlignment="1" applyProtection="1">
      <protection locked="0"/>
    </xf>
    <xf numFmtId="41" fontId="7" fillId="0" borderId="0" xfId="2535" applyNumberFormat="1" applyFont="1" applyFill="1" applyBorder="1" applyAlignment="1">
      <alignment vertical="center"/>
    </xf>
    <xf numFmtId="41" fontId="7" fillId="0" borderId="19" xfId="2535" applyNumberFormat="1" applyFont="1" applyFill="1" applyBorder="1" applyProtection="1">
      <protection locked="0"/>
    </xf>
    <xf numFmtId="41" fontId="7" fillId="0" borderId="19" xfId="0" applyNumberFormat="1" applyFont="1" applyFill="1" applyBorder="1" applyAlignment="1">
      <alignment wrapText="1"/>
    </xf>
    <xf numFmtId="0" fontId="8" fillId="0" borderId="45" xfId="0" applyNumberFormat="1" applyFont="1" applyFill="1" applyBorder="1" applyAlignment="1">
      <alignment horizontal="center"/>
    </xf>
    <xf numFmtId="189" fontId="8" fillId="0" borderId="45" xfId="0" applyNumberFormat="1" applyFont="1" applyFill="1" applyBorder="1" applyAlignment="1"/>
    <xf numFmtId="0" fontId="13" fillId="0" borderId="0" xfId="2806" applyBorder="1" applyAlignment="1">
      <alignment horizontal="left" vertical="top"/>
    </xf>
    <xf numFmtId="0" fontId="13" fillId="0" borderId="0" xfId="2515" applyNumberFormat="1" applyFont="1" applyBorder="1" applyAlignment="1">
      <alignment vertical="top" wrapText="1"/>
    </xf>
    <xf numFmtId="174" fontId="13" fillId="0" borderId="0" xfId="2515" applyNumberFormat="1" applyBorder="1" applyAlignment="1">
      <alignment vertical="top"/>
    </xf>
    <xf numFmtId="0" fontId="0" fillId="0" borderId="0" xfId="0" applyNumberFormat="1" applyAlignment="1">
      <alignment horizontal="left"/>
    </xf>
    <xf numFmtId="183" fontId="8" fillId="0" borderId="0" xfId="0" applyFont="1" applyFill="1" applyAlignment="1" applyProtection="1">
      <alignment horizontal="centerContinuous" vertical="center"/>
      <protection locked="0"/>
    </xf>
    <xf numFmtId="183" fontId="9" fillId="0" borderId="0" xfId="0" applyFont="1" applyFill="1" applyAlignment="1">
      <alignment horizontal="left"/>
    </xf>
    <xf numFmtId="175" fontId="7" fillId="0" borderId="0" xfId="2535" applyNumberFormat="1" applyFont="1" applyFill="1" applyBorder="1"/>
    <xf numFmtId="174" fontId="7" fillId="0" borderId="0" xfId="2464" applyNumberFormat="1" applyFont="1" applyFill="1" applyBorder="1" applyAlignment="1">
      <alignment horizontal="center"/>
    </xf>
    <xf numFmtId="174" fontId="7" fillId="0" borderId="0" xfId="0" applyNumberFormat="1" applyFont="1" applyFill="1" applyBorder="1">
      <alignment horizontal="left" wrapText="1"/>
    </xf>
    <xf numFmtId="183" fontId="9" fillId="0" borderId="0" xfId="0" applyFont="1" applyFill="1" applyBorder="1" applyAlignment="1">
      <alignment horizontal="left"/>
    </xf>
    <xf numFmtId="9" fontId="7" fillId="0" borderId="0" xfId="2837" applyFont="1" applyFill="1"/>
    <xf numFmtId="9" fontId="7" fillId="0" borderId="0" xfId="2837" applyFont="1"/>
    <xf numFmtId="3" fontId="7" fillId="0" borderId="0" xfId="2464" applyNumberFormat="1" applyFont="1" applyBorder="1"/>
    <xf numFmtId="0" fontId="7" fillId="0" borderId="0" xfId="2796" applyFont="1" applyFill="1" applyAlignment="1">
      <alignment horizontal="center"/>
    </xf>
    <xf numFmtId="0" fontId="7" fillId="0" borderId="0" xfId="2796" applyFont="1" applyFill="1"/>
    <xf numFmtId="0" fontId="7" fillId="0" borderId="0" xfId="2796" applyFont="1" applyFill="1" applyAlignment="1">
      <alignment horizontal="left" indent="2"/>
    </xf>
    <xf numFmtId="42" fontId="7" fillId="0" borderId="0" xfId="2796" applyNumberFormat="1" applyFont="1" applyFill="1" applyBorder="1"/>
    <xf numFmtId="41" fontId="7" fillId="0" borderId="0" xfId="2796" applyNumberFormat="1" applyFont="1" applyFill="1" applyBorder="1"/>
    <xf numFmtId="0" fontId="7" fillId="0" borderId="0" xfId="2807" applyFont="1" applyFill="1" applyBorder="1" applyAlignment="1">
      <alignment horizontal="left"/>
    </xf>
    <xf numFmtId="0" fontId="13" fillId="0" borderId="0" xfId="2804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74" fontId="13" fillId="0" borderId="34" xfId="2514" applyNumberFormat="1" applyFont="1" applyFill="1" applyBorder="1"/>
    <xf numFmtId="0" fontId="13" fillId="0" borderId="0" xfId="2804" applyFont="1" applyFill="1"/>
    <xf numFmtId="174" fontId="13" fillId="0" borderId="33" xfId="2514" applyNumberFormat="1" applyFont="1" applyFill="1" applyBorder="1"/>
    <xf numFmtId="43" fontId="13" fillId="0" borderId="33" xfId="2514" applyFont="1" applyFill="1" applyBorder="1"/>
    <xf numFmtId="174" fontId="13" fillId="0" borderId="34" xfId="2804" applyNumberFormat="1" applyFont="1" applyFill="1" applyBorder="1"/>
    <xf numFmtId="174" fontId="13" fillId="0" borderId="43" xfId="2804" applyNumberFormat="1" applyFont="1" applyFill="1" applyBorder="1"/>
    <xf numFmtId="174" fontId="13" fillId="0" borderId="46" xfId="2804" applyNumberFormat="1" applyFont="1" applyFill="1" applyBorder="1"/>
    <xf numFmtId="0" fontId="13" fillId="0" borderId="0" xfId="2795" applyFill="1"/>
    <xf numFmtId="41" fontId="13" fillId="0" borderId="0" xfId="2511" applyNumberFormat="1" applyFill="1"/>
    <xf numFmtId="0" fontId="13" fillId="0" borderId="0" xfId="2795" applyFont="1" applyFill="1"/>
    <xf numFmtId="0" fontId="13" fillId="0" borderId="19" xfId="2795" applyFill="1" applyBorder="1"/>
    <xf numFmtId="41" fontId="13" fillId="0" borderId="19" xfId="2511" applyNumberFormat="1" applyFill="1" applyBorder="1"/>
    <xf numFmtId="0" fontId="13" fillId="0" borderId="0" xfId="2795" applyFill="1" applyBorder="1"/>
    <xf numFmtId="41" fontId="13" fillId="0" borderId="0" xfId="2511" applyNumberFormat="1" applyFill="1" applyBorder="1"/>
    <xf numFmtId="41" fontId="21" fillId="0" borderId="19" xfId="2511" applyNumberFormat="1" applyFont="1" applyFill="1" applyBorder="1" applyAlignment="1">
      <alignment horizontal="center"/>
    </xf>
    <xf numFmtId="41" fontId="21" fillId="0" borderId="0" xfId="2511" applyNumberFormat="1" applyFont="1" applyFill="1" applyBorder="1" applyAlignment="1">
      <alignment horizontal="center"/>
    </xf>
    <xf numFmtId="0" fontId="21" fillId="0" borderId="0" xfId="2801" applyFont="1" applyFill="1"/>
    <xf numFmtId="0" fontId="21" fillId="0" borderId="0" xfId="2795" applyFont="1" applyFill="1"/>
    <xf numFmtId="0" fontId="16" fillId="0" borderId="0" xfId="2795" applyFont="1" applyFill="1" applyAlignment="1">
      <alignment horizontal="right"/>
    </xf>
    <xf numFmtId="0" fontId="13" fillId="0" borderId="0" xfId="2801" applyFont="1" applyFill="1" applyAlignment="1">
      <alignment horizontal="left" indent="2"/>
    </xf>
    <xf numFmtId="0" fontId="13" fillId="0" borderId="0" xfId="2795" applyFill="1" applyAlignment="1">
      <alignment horizontal="left" indent="2"/>
    </xf>
    <xf numFmtId="0" fontId="13" fillId="0" borderId="0" xfId="2795" applyFill="1" applyAlignment="1">
      <alignment horizontal="left" indent="6"/>
    </xf>
    <xf numFmtId="168" fontId="13" fillId="0" borderId="0" xfId="2795" applyNumberFormat="1" applyFill="1"/>
    <xf numFmtId="0" fontId="21" fillId="0" borderId="0" xfId="2801" applyFont="1" applyFill="1" applyAlignment="1"/>
    <xf numFmtId="0" fontId="13" fillId="0" borderId="0" xfId="2801" applyFont="1" applyFill="1"/>
    <xf numFmtId="0" fontId="16" fillId="0" borderId="0" xfId="2795" applyFont="1" applyFill="1"/>
    <xf numFmtId="0" fontId="13" fillId="0" borderId="0" xfId="2801" applyFont="1" applyFill="1" applyAlignment="1">
      <alignment horizontal="left" indent="10"/>
    </xf>
    <xf numFmtId="165" fontId="21" fillId="0" borderId="0" xfId="2795" applyNumberFormat="1" applyFont="1" applyFill="1" applyBorder="1"/>
    <xf numFmtId="44" fontId="13" fillId="0" borderId="0" xfId="2795" applyNumberFormat="1" applyFill="1"/>
    <xf numFmtId="42" fontId="13" fillId="0" borderId="0" xfId="2511" applyNumberFormat="1" applyFill="1"/>
    <xf numFmtId="37" fontId="18" fillId="0" borderId="0" xfId="2795" applyNumberFormat="1" applyFont="1" applyFill="1" applyBorder="1" applyProtection="1"/>
    <xf numFmtId="37" fontId="16" fillId="0" borderId="0" xfId="2795" applyNumberFormat="1" applyFont="1" applyFill="1" applyBorder="1" applyProtection="1"/>
    <xf numFmtId="0" fontId="13" fillId="0" borderId="0" xfId="2804" applyFill="1" applyBorder="1"/>
    <xf numFmtId="0" fontId="13" fillId="0" borderId="0" xfId="2804" applyFont="1" applyFill="1" applyAlignment="1">
      <alignment horizontal="center"/>
    </xf>
    <xf numFmtId="4" fontId="7" fillId="0" borderId="0" xfId="2464" applyFont="1" applyFill="1" applyBorder="1" applyAlignment="1"/>
    <xf numFmtId="175" fontId="13" fillId="0" borderId="0" xfId="2535" applyNumberFormat="1" applyFont="1" applyFill="1" applyAlignment="1">
      <alignment horizontal="right"/>
    </xf>
    <xf numFmtId="183" fontId="7" fillId="0" borderId="0" xfId="0" applyNumberFormat="1" applyFont="1" applyFill="1" applyAlignment="1"/>
    <xf numFmtId="183" fontId="7" fillId="0" borderId="19" xfId="0" applyNumberFormat="1" applyFont="1" applyFill="1" applyBorder="1" applyAlignment="1"/>
    <xf numFmtId="183" fontId="7" fillId="0" borderId="0" xfId="0" applyNumberFormat="1" applyFont="1" applyFill="1" applyBorder="1" applyAlignment="1"/>
    <xf numFmtId="189" fontId="8" fillId="0" borderId="0" xfId="0" applyNumberFormat="1" applyFont="1" applyFill="1" applyBorder="1" applyAlignment="1"/>
    <xf numFmtId="165" fontId="7" fillId="0" borderId="0" xfId="2837" applyNumberFormat="1" applyFont="1" applyFill="1" applyBorder="1" applyAlignment="1">
      <alignment horizontal="right"/>
    </xf>
    <xf numFmtId="165" fontId="7" fillId="0" borderId="19" xfId="2837" applyNumberFormat="1" applyFont="1" applyFill="1" applyBorder="1" applyAlignment="1">
      <alignment horizontal="right"/>
    </xf>
    <xf numFmtId="0" fontId="7" fillId="0" borderId="0" xfId="0" quotePrefix="1" applyNumberFormat="1" applyFont="1" applyFill="1" applyAlignment="1">
      <alignment horizontal="left" indent="1"/>
    </xf>
    <xf numFmtId="174" fontId="7" fillId="0" borderId="19" xfId="2464" applyNumberFormat="1" applyFont="1" applyFill="1" applyBorder="1"/>
    <xf numFmtId="183" fontId="7" fillId="0" borderId="0" xfId="3003" applyFont="1" applyFill="1" applyBorder="1" applyAlignment="1">
      <alignment horizontal="left" indent="1"/>
    </xf>
    <xf numFmtId="183" fontId="7" fillId="0" borderId="0" xfId="3003" applyFont="1" applyFill="1" applyAlignment="1">
      <alignment horizontal="left" indent="1"/>
    </xf>
    <xf numFmtId="0" fontId="64" fillId="0" borderId="0" xfId="2793" applyNumberFormat="1" applyFont="1" applyAlignment="1">
      <alignment horizontal="center" wrapText="1"/>
    </xf>
    <xf numFmtId="183" fontId="64" fillId="0" borderId="0" xfId="2793" applyFont="1">
      <alignment horizontal="left" wrapText="1"/>
    </xf>
    <xf numFmtId="0" fontId="64" fillId="0" borderId="0" xfId="2793" applyNumberFormat="1" applyFont="1" applyFill="1" applyAlignment="1">
      <alignment horizontal="center" wrapText="1"/>
    </xf>
    <xf numFmtId="183" fontId="64" fillId="0" borderId="0" xfId="2793" applyFont="1" applyFill="1">
      <alignment horizontal="left" wrapText="1"/>
    </xf>
    <xf numFmtId="37" fontId="33" fillId="0" borderId="0" xfId="2792" applyFont="1" applyFill="1" applyAlignment="1">
      <alignment horizontal="center"/>
    </xf>
    <xf numFmtId="37" fontId="33" fillId="0" borderId="0" xfId="2792" applyFont="1" applyFill="1" applyAlignment="1">
      <alignment horizontal="left"/>
    </xf>
    <xf numFmtId="187" fontId="33" fillId="0" borderId="0" xfId="2792" applyNumberFormat="1" applyFont="1" applyFill="1" applyAlignment="1">
      <alignment horizontal="center"/>
    </xf>
    <xf numFmtId="166" fontId="13" fillId="0" borderId="0" xfId="2837" applyNumberFormat="1" applyFont="1" applyFill="1" applyAlignment="1"/>
    <xf numFmtId="4" fontId="7" fillId="0" borderId="0" xfId="2464" applyFont="1" applyFill="1" applyAlignment="1">
      <alignment horizontal="center"/>
    </xf>
    <xf numFmtId="175" fontId="13" fillId="0" borderId="0" xfId="2803" applyNumberFormat="1"/>
    <xf numFmtId="174" fontId="18" fillId="0" borderId="0" xfId="0" applyNumberFormat="1" applyFont="1" applyFill="1" applyBorder="1">
      <alignment horizontal="left" wrapText="1"/>
    </xf>
    <xf numFmtId="174" fontId="13" fillId="0" borderId="4" xfId="2513" applyNumberFormat="1" applyFont="1" applyFill="1" applyBorder="1"/>
    <xf numFmtId="174" fontId="13" fillId="0" borderId="0" xfId="2513" applyNumberFormat="1" applyFont="1" applyFill="1"/>
    <xf numFmtId="175" fontId="13" fillId="0" borderId="41" xfId="2569" applyNumberFormat="1" applyFont="1" applyFill="1" applyBorder="1"/>
    <xf numFmtId="183" fontId="13" fillId="0" borderId="0" xfId="2793" applyFont="1">
      <alignment horizontal="left" wrapText="1"/>
    </xf>
    <xf numFmtId="41" fontId="13" fillId="0" borderId="19" xfId="2511" applyNumberFormat="1" applyFont="1" applyFill="1" applyBorder="1"/>
    <xf numFmtId="41" fontId="13" fillId="0" borderId="0" xfId="2511" applyNumberFormat="1" applyFont="1" applyFill="1"/>
    <xf numFmtId="174" fontId="13" fillId="0" borderId="44" xfId="2514" applyNumberFormat="1" applyFont="1" applyFill="1" applyBorder="1"/>
    <xf numFmtId="0" fontId="7" fillId="0" borderId="0" xfId="0" applyNumberFormat="1" applyFont="1" applyFill="1" applyBorder="1" applyAlignment="1" applyProtection="1">
      <protection locked="0"/>
    </xf>
    <xf numFmtId="171" fontId="7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Border="1" applyAlignment="1" applyProtection="1">
      <alignment horizontal="center"/>
      <protection locked="0"/>
    </xf>
    <xf numFmtId="43" fontId="7" fillId="0" borderId="0" xfId="0" applyNumberFormat="1" applyFont="1" applyFill="1" applyAlignment="1"/>
    <xf numFmtId="3" fontId="7" fillId="0" borderId="0" xfId="2464" applyNumberFormat="1" applyFont="1" applyFill="1" applyAlignment="1">
      <alignment wrapText="1"/>
    </xf>
    <xf numFmtId="15" fontId="7" fillId="0" borderId="0" xfId="0" applyNumberFormat="1" applyFont="1" applyFill="1">
      <alignment horizontal="left" wrapText="1"/>
    </xf>
    <xf numFmtId="37" fontId="7" fillId="0" borderId="19" xfId="2464" applyNumberFormat="1" applyFont="1" applyFill="1" applyBorder="1"/>
    <xf numFmtId="37" fontId="7" fillId="0" borderId="0" xfId="2464" applyNumberFormat="1" applyFont="1" applyFill="1"/>
    <xf numFmtId="183" fontId="7" fillId="0" borderId="0" xfId="0" applyFont="1" applyFill="1" applyAlignment="1">
      <alignment horizontal="center" vertical="top"/>
    </xf>
    <xf numFmtId="183" fontId="7" fillId="0" borderId="0" xfId="0" applyFont="1" applyFill="1" applyAlignment="1">
      <alignment horizontal="center" vertical="center"/>
    </xf>
    <xf numFmtId="41" fontId="18" fillId="0" borderId="0" xfId="2793" applyNumberFormat="1" applyFont="1" applyBorder="1">
      <alignment horizontal="left" wrapText="1"/>
    </xf>
    <xf numFmtId="3" fontId="13" fillId="0" borderId="0" xfId="2464" applyNumberFormat="1" applyFont="1" applyAlignment="1">
      <alignment horizontal="right" wrapText="1"/>
    </xf>
    <xf numFmtId="183" fontId="13" fillId="0" borderId="19" xfId="2793" applyBorder="1">
      <alignment horizontal="left" wrapText="1"/>
    </xf>
    <xf numFmtId="42" fontId="21" fillId="0" borderId="0" xfId="0" applyNumberFormat="1" applyFont="1" applyBorder="1">
      <alignment horizontal="left" wrapText="1"/>
    </xf>
    <xf numFmtId="42" fontId="13" fillId="0" borderId="0" xfId="0" applyNumberFormat="1" applyFont="1" applyBorder="1">
      <alignment horizontal="left" wrapText="1"/>
    </xf>
    <xf numFmtId="183" fontId="13" fillId="0" borderId="0" xfId="2793" applyBorder="1">
      <alignment horizontal="left" wrapText="1"/>
    </xf>
    <xf numFmtId="183" fontId="13" fillId="0" borderId="0" xfId="2793" applyFont="1" applyBorder="1">
      <alignment horizontal="left" wrapText="1"/>
    </xf>
    <xf numFmtId="167" fontId="8" fillId="0" borderId="19" xfId="0" applyNumberFormat="1" applyFont="1" applyFill="1" applyBorder="1" applyAlignment="1">
      <alignment horizontal="center"/>
    </xf>
    <xf numFmtId="3" fontId="13" fillId="0" borderId="0" xfId="2464" applyNumberFormat="1" applyFont="1" applyBorder="1" applyAlignment="1"/>
    <xf numFmtId="3" fontId="13" fillId="0" borderId="0" xfId="2464" applyNumberFormat="1" applyFont="1" applyAlignment="1"/>
    <xf numFmtId="174" fontId="16" fillId="0" borderId="34" xfId="2464" applyNumberFormat="1" applyFont="1" applyFill="1" applyBorder="1" applyAlignment="1"/>
    <xf numFmtId="175" fontId="22" fillId="0" borderId="34" xfId="2535" applyNumberFormat="1" applyFont="1" applyFill="1" applyBorder="1" applyAlignment="1"/>
    <xf numFmtId="175" fontId="13" fillId="0" borderId="34" xfId="2535" applyNumberFormat="1" applyFont="1" applyFill="1" applyBorder="1" applyAlignment="1"/>
    <xf numFmtId="174" fontId="13" fillId="0" borderId="34" xfId="2464" applyNumberFormat="1" applyFont="1" applyFill="1" applyBorder="1" applyAlignment="1"/>
    <xf numFmtId="174" fontId="13" fillId="0" borderId="43" xfId="2464" applyNumberFormat="1" applyFont="1" applyFill="1" applyBorder="1" applyAlignment="1"/>
    <xf numFmtId="0" fontId="24" fillId="0" borderId="0" xfId="0" applyNumberFormat="1" applyFont="1" applyFill="1" applyAlignment="1"/>
    <xf numFmtId="0" fontId="8" fillId="0" borderId="0" xfId="2798" applyNumberFormat="1" applyFont="1" applyFill="1" applyAlignment="1">
      <alignment horizontal="center"/>
    </xf>
    <xf numFmtId="175" fontId="7" fillId="0" borderId="0" xfId="2567" applyNumberFormat="1" applyFont="1" applyFill="1" applyBorder="1"/>
    <xf numFmtId="0" fontId="24" fillId="0" borderId="0" xfId="0" applyNumberFormat="1" applyFont="1" applyFill="1" applyAlignment="1">
      <alignment horizontal="center"/>
    </xf>
    <xf numFmtId="42" fontId="7" fillId="0" borderId="0" xfId="0" applyNumberFormat="1" applyFont="1" applyAlignment="1" applyProtection="1">
      <alignment horizontal="right"/>
      <protection locked="0"/>
    </xf>
    <xf numFmtId="15" fontId="35" fillId="0" borderId="0" xfId="2711" applyNumberFormat="1" applyFont="1" applyAlignment="1">
      <alignment horizontal="centerContinuous"/>
    </xf>
    <xf numFmtId="0" fontId="35" fillId="0" borderId="0" xfId="2805" applyFont="1"/>
    <xf numFmtId="0" fontId="35" fillId="0" borderId="0" xfId="2711" applyFont="1" applyAlignment="1">
      <alignment horizontal="centerContinuous"/>
    </xf>
    <xf numFmtId="0" fontId="13" fillId="0" borderId="0" xfId="2711"/>
    <xf numFmtId="38" fontId="13" fillId="0" borderId="0" xfId="2711" applyNumberFormat="1"/>
    <xf numFmtId="38" fontId="35" fillId="0" borderId="0" xfId="2711" applyNumberFormat="1" applyFont="1"/>
    <xf numFmtId="0" fontId="33" fillId="0" borderId="0" xfId="2805" applyFont="1" applyFill="1" applyBorder="1"/>
    <xf numFmtId="0" fontId="13" fillId="0" borderId="0" xfId="2711" applyBorder="1"/>
    <xf numFmtId="0" fontId="33" fillId="0" borderId="0" xfId="2805" applyFont="1" applyFill="1" applyBorder="1" applyAlignment="1">
      <alignment horizontal="right"/>
    </xf>
    <xf numFmtId="0" fontId="13" fillId="0" borderId="0" xfId="2795" applyFill="1" applyAlignment="1">
      <alignment horizontal="center"/>
    </xf>
    <xf numFmtId="0" fontId="70" fillId="0" borderId="35" xfId="2724" applyFont="1" applyFill="1" applyBorder="1"/>
    <xf numFmtId="0" fontId="71" fillId="0" borderId="20" xfId="2724" applyFont="1" applyFill="1" applyBorder="1"/>
    <xf numFmtId="0" fontId="72" fillId="0" borderId="20" xfId="2724" applyFont="1" applyFill="1" applyBorder="1"/>
    <xf numFmtId="175" fontId="70" fillId="0" borderId="20" xfId="2537" applyNumberFormat="1" applyFont="1" applyFill="1" applyBorder="1"/>
    <xf numFmtId="0" fontId="70" fillId="0" borderId="20" xfId="2724" applyFont="1" applyFill="1" applyBorder="1"/>
    <xf numFmtId="0" fontId="70" fillId="0" borderId="36" xfId="2724" applyFont="1" applyFill="1" applyBorder="1"/>
    <xf numFmtId="0" fontId="73" fillId="0" borderId="0" xfId="2724" applyFont="1" applyFill="1"/>
    <xf numFmtId="0" fontId="71" fillId="0" borderId="35" xfId="2724" applyFont="1" applyFill="1" applyBorder="1"/>
    <xf numFmtId="174" fontId="70" fillId="0" borderId="20" xfId="2470" applyNumberFormat="1" applyFont="1" applyFill="1" applyBorder="1"/>
    <xf numFmtId="0" fontId="70" fillId="0" borderId="0" xfId="2724" applyFont="1" applyFill="1"/>
    <xf numFmtId="0" fontId="70" fillId="0" borderId="37" xfId="2724" applyFont="1" applyFill="1" applyBorder="1"/>
    <xf numFmtId="0" fontId="74" fillId="0" borderId="0" xfId="2724" applyFont="1" applyFill="1" applyBorder="1"/>
    <xf numFmtId="0" fontId="72" fillId="0" borderId="0" xfId="2724" applyFont="1" applyFill="1" applyBorder="1"/>
    <xf numFmtId="175" fontId="70" fillId="0" borderId="0" xfId="2537" applyNumberFormat="1" applyFont="1" applyFill="1" applyBorder="1"/>
    <xf numFmtId="0" fontId="70" fillId="0" borderId="0" xfId="2724" applyFont="1" applyFill="1" applyBorder="1"/>
    <xf numFmtId="0" fontId="75" fillId="0" borderId="39" xfId="2724" applyFont="1" applyFill="1" applyBorder="1" applyAlignment="1">
      <alignment horizontal="center"/>
    </xf>
    <xf numFmtId="0" fontId="76" fillId="0" borderId="0" xfId="2724" applyFont="1" applyFill="1" applyBorder="1" applyAlignment="1">
      <alignment horizontal="center"/>
    </xf>
    <xf numFmtId="0" fontId="71" fillId="0" borderId="37" xfId="2724" applyFont="1" applyFill="1" applyBorder="1"/>
    <xf numFmtId="174" fontId="70" fillId="0" borderId="0" xfId="2470" applyNumberFormat="1" applyFont="1" applyFill="1" applyBorder="1"/>
    <xf numFmtId="174" fontId="70" fillId="0" borderId="0" xfId="2470" applyNumberFormat="1" applyFont="1" applyFill="1"/>
    <xf numFmtId="0" fontId="70" fillId="0" borderId="39" xfId="2724" applyFont="1" applyFill="1" applyBorder="1"/>
    <xf numFmtId="0" fontId="77" fillId="0" borderId="0" xfId="2724" applyFont="1" applyFill="1" applyBorder="1" applyAlignment="1">
      <alignment horizontal="center"/>
    </xf>
    <xf numFmtId="0" fontId="77" fillId="0" borderId="39" xfId="2724" applyFont="1" applyFill="1" applyBorder="1" applyAlignment="1">
      <alignment horizontal="center"/>
    </xf>
    <xf numFmtId="0" fontId="78" fillId="0" borderId="0" xfId="2724" applyFont="1" applyFill="1" applyBorder="1" applyAlignment="1">
      <alignment horizontal="center"/>
    </xf>
    <xf numFmtId="0" fontId="77" fillId="0" borderId="37" xfId="2724" applyFont="1" applyFill="1" applyBorder="1" applyAlignment="1">
      <alignment horizontal="center"/>
    </xf>
    <xf numFmtId="0" fontId="79" fillId="0" borderId="37" xfId="2724" applyFont="1" applyFill="1" applyBorder="1" applyAlignment="1">
      <alignment horizontal="center"/>
    </xf>
    <xf numFmtId="0" fontId="79" fillId="0" borderId="0" xfId="2724" applyFont="1" applyFill="1" applyBorder="1" applyAlignment="1">
      <alignment horizontal="center"/>
    </xf>
    <xf numFmtId="0" fontId="79" fillId="0" borderId="37" xfId="2724" applyFont="1" applyFill="1" applyBorder="1" applyAlignment="1"/>
    <xf numFmtId="0" fontId="77" fillId="0" borderId="39" xfId="2724" quotePrefix="1" applyFont="1" applyFill="1" applyBorder="1" applyAlignment="1">
      <alignment horizontal="center"/>
    </xf>
    <xf numFmtId="174" fontId="21" fillId="0" borderId="0" xfId="2470" applyNumberFormat="1" applyFont="1" applyFill="1" applyBorder="1" applyAlignment="1">
      <alignment horizontal="center"/>
    </xf>
    <xf numFmtId="0" fontId="79" fillId="0" borderId="0" xfId="2724" applyFont="1" applyFill="1" applyAlignment="1">
      <alignment horizontal="center"/>
    </xf>
    <xf numFmtId="0" fontId="70" fillId="0" borderId="0" xfId="2724" applyFont="1" applyFill="1" applyBorder="1" applyAlignment="1">
      <alignment horizontal="right"/>
    </xf>
    <xf numFmtId="175" fontId="70" fillId="0" borderId="48" xfId="2537" applyNumberFormat="1" applyFont="1" applyFill="1" applyBorder="1"/>
    <xf numFmtId="174" fontId="73" fillId="0" borderId="0" xfId="2470" applyNumberFormat="1" applyFont="1" applyFill="1" applyBorder="1"/>
    <xf numFmtId="0" fontId="70" fillId="0" borderId="37" xfId="2724" applyFont="1" applyFill="1" applyBorder="1" applyAlignment="1">
      <alignment horizontal="right"/>
    </xf>
    <xf numFmtId="175" fontId="70" fillId="0" borderId="48" xfId="2724" applyNumberFormat="1" applyFont="1" applyFill="1" applyBorder="1"/>
    <xf numFmtId="175" fontId="70" fillId="0" borderId="39" xfId="2537" applyNumberFormat="1" applyFont="1" applyFill="1" applyBorder="1"/>
    <xf numFmtId="174" fontId="70" fillId="0" borderId="0" xfId="2724" applyNumberFormat="1" applyFont="1" applyFill="1"/>
    <xf numFmtId="174" fontId="70" fillId="0" borderId="49" xfId="2470" applyNumberFormat="1" applyFont="1" applyFill="1" applyBorder="1"/>
    <xf numFmtId="0" fontId="76" fillId="0" borderId="37" xfId="2724" applyFont="1" applyFill="1" applyBorder="1" applyAlignment="1">
      <alignment horizontal="right"/>
    </xf>
    <xf numFmtId="175" fontId="70" fillId="0" borderId="37" xfId="2537" applyNumberFormat="1" applyFont="1" applyFill="1" applyBorder="1"/>
    <xf numFmtId="175" fontId="77" fillId="0" borderId="0" xfId="2537" applyNumberFormat="1" applyFont="1" applyFill="1" applyBorder="1" applyAlignment="1">
      <alignment horizontal="right"/>
    </xf>
    <xf numFmtId="175" fontId="21" fillId="0" borderId="4" xfId="2537" applyNumberFormat="1" applyFont="1" applyFill="1" applyBorder="1"/>
    <xf numFmtId="175" fontId="77" fillId="0" borderId="9" xfId="2537" applyNumberFormat="1" applyFont="1" applyFill="1" applyBorder="1"/>
    <xf numFmtId="175" fontId="77" fillId="0" borderId="37" xfId="2537" applyNumberFormat="1" applyFont="1" applyFill="1" applyBorder="1" applyAlignment="1">
      <alignment horizontal="right"/>
    </xf>
    <xf numFmtId="175" fontId="77" fillId="0" borderId="50" xfId="2537" applyNumberFormat="1" applyFont="1" applyFill="1" applyBorder="1"/>
    <xf numFmtId="174" fontId="70" fillId="0" borderId="19" xfId="2470" applyNumberFormat="1" applyFont="1" applyFill="1" applyBorder="1"/>
    <xf numFmtId="175" fontId="70" fillId="0" borderId="4" xfId="2537" applyNumberFormat="1" applyFont="1" applyFill="1" applyBorder="1"/>
    <xf numFmtId="175" fontId="70" fillId="0" borderId="0" xfId="2537" applyNumberFormat="1" applyFont="1" applyFill="1"/>
    <xf numFmtId="0" fontId="76" fillId="0" borderId="37" xfId="2724" applyFont="1" applyFill="1" applyBorder="1"/>
    <xf numFmtId="0" fontId="76" fillId="0" borderId="0" xfId="2724" applyFont="1" applyFill="1" applyBorder="1"/>
    <xf numFmtId="0" fontId="76" fillId="0" borderId="0" xfId="2724" applyFont="1" applyFill="1" applyBorder="1" applyAlignment="1">
      <alignment horizontal="right"/>
    </xf>
    <xf numFmtId="43" fontId="76" fillId="0" borderId="39" xfId="2724" applyNumberFormat="1" applyFont="1" applyFill="1" applyBorder="1"/>
    <xf numFmtId="174" fontId="78" fillId="0" borderId="0" xfId="2470" applyNumberFormat="1" applyFont="1" applyFill="1" applyBorder="1"/>
    <xf numFmtId="174" fontId="75" fillId="0" borderId="37" xfId="2470" applyNumberFormat="1" applyFont="1" applyFill="1" applyBorder="1"/>
    <xf numFmtId="175" fontId="76" fillId="0" borderId="0" xfId="2724" applyNumberFormat="1" applyFont="1" applyFill="1" applyBorder="1"/>
    <xf numFmtId="174" fontId="76" fillId="0" borderId="0" xfId="2724" applyNumberFormat="1" applyFont="1" applyFill="1" applyBorder="1"/>
    <xf numFmtId="174" fontId="76" fillId="0" borderId="0" xfId="2470" applyNumberFormat="1" applyFont="1" applyFill="1" applyBorder="1"/>
    <xf numFmtId="43" fontId="70" fillId="0" borderId="39" xfId="2470" applyFont="1" applyFill="1" applyBorder="1"/>
    <xf numFmtId="5" fontId="76" fillId="0" borderId="0" xfId="2724" applyNumberFormat="1" applyFont="1" applyFill="1"/>
    <xf numFmtId="0" fontId="76" fillId="0" borderId="0" xfId="2724" applyFont="1" applyFill="1"/>
    <xf numFmtId="0" fontId="70" fillId="0" borderId="0" xfId="2724" applyFill="1" applyBorder="1"/>
    <xf numFmtId="0" fontId="70" fillId="0" borderId="39" xfId="2724" applyFill="1" applyBorder="1"/>
    <xf numFmtId="0" fontId="70" fillId="0" borderId="0" xfId="2724" applyFill="1"/>
    <xf numFmtId="0" fontId="70" fillId="0" borderId="38" xfId="2724" applyFill="1" applyBorder="1"/>
    <xf numFmtId="0" fontId="70" fillId="0" borderId="19" xfId="2724" applyFont="1" applyFill="1" applyBorder="1"/>
    <xf numFmtId="174" fontId="73" fillId="0" borderId="19" xfId="2470" applyNumberFormat="1" applyFont="1" applyFill="1" applyBorder="1" applyAlignment="1">
      <alignment horizontal="center"/>
    </xf>
    <xf numFmtId="174" fontId="70" fillId="0" borderId="40" xfId="2470" applyNumberFormat="1" applyFont="1" applyFill="1" applyBorder="1"/>
    <xf numFmtId="175" fontId="77" fillId="0" borderId="39" xfId="2537" applyNumberFormat="1" applyFont="1" applyFill="1" applyBorder="1"/>
    <xf numFmtId="175" fontId="78" fillId="0" borderId="0" xfId="2537" applyNumberFormat="1" applyFont="1" applyFill="1" applyBorder="1"/>
    <xf numFmtId="175" fontId="77" fillId="0" borderId="0" xfId="2537" applyNumberFormat="1" applyFont="1" applyFill="1" applyBorder="1"/>
    <xf numFmtId="174" fontId="76" fillId="0" borderId="0" xfId="2470" applyNumberFormat="1" applyFont="1" applyFill="1"/>
    <xf numFmtId="43" fontId="70" fillId="0" borderId="0" xfId="2470" applyFont="1" applyFill="1" applyBorder="1"/>
    <xf numFmtId="174" fontId="70" fillId="0" borderId="0" xfId="2470" applyNumberFormat="1" applyFont="1" applyFill="1" applyBorder="1" applyAlignment="1">
      <alignment horizontal="right"/>
    </xf>
    <xf numFmtId="0" fontId="70" fillId="0" borderId="0" xfId="2724" applyFont="1" applyFill="1" applyBorder="1" applyAlignment="1">
      <alignment horizontal="left"/>
    </xf>
    <xf numFmtId="174" fontId="70" fillId="0" borderId="51" xfId="2470" applyNumberFormat="1" applyFont="1" applyFill="1" applyBorder="1"/>
    <xf numFmtId="175" fontId="70" fillId="0" borderId="0" xfId="2537" applyNumberFormat="1" applyFont="1" applyFill="1" applyBorder="1" applyAlignment="1">
      <alignment wrapText="1"/>
    </xf>
    <xf numFmtId="174" fontId="77" fillId="0" borderId="52" xfId="2470" applyNumberFormat="1" applyFont="1" applyFill="1" applyBorder="1"/>
    <xf numFmtId="174" fontId="70" fillId="0" borderId="52" xfId="2470" applyNumberFormat="1" applyFont="1" applyFill="1" applyBorder="1"/>
    <xf numFmtId="174" fontId="70" fillId="0" borderId="50" xfId="2470" applyNumberFormat="1" applyFont="1" applyFill="1" applyBorder="1"/>
    <xf numFmtId="0" fontId="77" fillId="0" borderId="0" xfId="2724" applyFont="1" applyFill="1" applyBorder="1" applyAlignment="1">
      <alignment horizontal="right"/>
    </xf>
    <xf numFmtId="174" fontId="21" fillId="0" borderId="4" xfId="2724" applyNumberFormat="1" applyFont="1" applyFill="1" applyBorder="1"/>
    <xf numFmtId="174" fontId="21" fillId="0" borderId="50" xfId="2724" applyNumberFormat="1" applyFont="1" applyFill="1" applyBorder="1"/>
    <xf numFmtId="174" fontId="70" fillId="0" borderId="0" xfId="2724" applyNumberFormat="1" applyFont="1" applyFill="1" applyBorder="1"/>
    <xf numFmtId="0" fontId="77" fillId="0" borderId="31" xfId="2724" applyFont="1" applyFill="1" applyBorder="1" applyAlignment="1">
      <alignment horizontal="right"/>
    </xf>
    <xf numFmtId="0" fontId="77" fillId="0" borderId="4" xfId="2724" applyFont="1" applyFill="1" applyBorder="1" applyAlignment="1">
      <alignment horizontal="left"/>
    </xf>
    <xf numFmtId="175" fontId="70" fillId="0" borderId="32" xfId="2537" applyNumberFormat="1" applyFont="1" applyFill="1" applyBorder="1"/>
    <xf numFmtId="175" fontId="73" fillId="0" borderId="0" xfId="2537" applyNumberFormat="1" applyFont="1" applyFill="1" applyBorder="1"/>
    <xf numFmtId="175" fontId="70" fillId="0" borderId="49" xfId="2537" applyNumberFormat="1" applyFont="1" applyFill="1" applyBorder="1"/>
    <xf numFmtId="174" fontId="73" fillId="0" borderId="0" xfId="2470" applyNumberFormat="1" applyFont="1" applyFill="1"/>
    <xf numFmtId="0" fontId="77" fillId="0" borderId="37" xfId="2724" applyFont="1" applyFill="1" applyBorder="1" applyAlignment="1">
      <alignment horizontal="right"/>
    </xf>
    <xf numFmtId="0" fontId="77" fillId="0" borderId="38" xfId="2724" applyFont="1" applyFill="1" applyBorder="1" applyAlignment="1">
      <alignment horizontal="right"/>
    </xf>
    <xf numFmtId="175" fontId="70" fillId="0" borderId="19" xfId="2537" applyNumberFormat="1" applyFont="1" applyFill="1" applyBorder="1"/>
    <xf numFmtId="0" fontId="70" fillId="0" borderId="38" xfId="2724" applyFont="1" applyFill="1" applyBorder="1"/>
    <xf numFmtId="0" fontId="77" fillId="0" borderId="19" xfId="2724" applyFont="1" applyFill="1" applyBorder="1" applyAlignment="1">
      <alignment horizontal="right"/>
    </xf>
    <xf numFmtId="175" fontId="77" fillId="0" borderId="40" xfId="2537" applyNumberFormat="1" applyFont="1" applyFill="1" applyBorder="1"/>
    <xf numFmtId="175" fontId="70" fillId="0" borderId="0" xfId="2724" applyNumberFormat="1" applyFont="1" applyFill="1" applyBorder="1"/>
    <xf numFmtId="175" fontId="73" fillId="0" borderId="0" xfId="2724" applyNumberFormat="1" applyFont="1" applyFill="1" applyBorder="1"/>
    <xf numFmtId="174" fontId="70" fillId="0" borderId="0" xfId="2470" applyNumberFormat="1" applyFont="1" applyFill="1" applyAlignment="1">
      <alignment horizontal="right"/>
    </xf>
    <xf numFmtId="175" fontId="70" fillId="0" borderId="0" xfId="2724" applyNumberFormat="1" applyFont="1" applyFill="1"/>
    <xf numFmtId="37" fontId="18" fillId="0" borderId="0" xfId="2792" applyFont="1" applyFill="1" applyBorder="1"/>
    <xf numFmtId="41" fontId="13" fillId="0" borderId="0" xfId="2464" applyNumberFormat="1" applyFont="1" applyFill="1"/>
    <xf numFmtId="41" fontId="18" fillId="0" borderId="4" xfId="2509" applyNumberFormat="1" applyFont="1" applyFill="1" applyBorder="1"/>
    <xf numFmtId="41" fontId="38" fillId="0" borderId="0" xfId="2510" applyNumberFormat="1" applyFont="1" applyFill="1"/>
    <xf numFmtId="0" fontId="13" fillId="0" borderId="0" xfId="2711" applyFill="1" applyBorder="1"/>
    <xf numFmtId="42" fontId="22" fillId="0" borderId="0" xfId="2511" applyNumberFormat="1" applyFont="1" applyFill="1"/>
    <xf numFmtId="42" fontId="22" fillId="0" borderId="0" xfId="2511" applyNumberFormat="1" applyFont="1" applyFill="1" applyBorder="1"/>
    <xf numFmtId="41" fontId="22" fillId="0" borderId="19" xfId="2511" applyNumberFormat="1" applyFont="1" applyFill="1" applyBorder="1"/>
    <xf numFmtId="41" fontId="22" fillId="0" borderId="0" xfId="2511" applyNumberFormat="1" applyFont="1" applyFill="1" applyBorder="1"/>
    <xf numFmtId="41" fontId="22" fillId="0" borderId="0" xfId="2568" applyNumberFormat="1" applyFont="1" applyFill="1"/>
    <xf numFmtId="37" fontId="22" fillId="0" borderId="0" xfId="2511" applyNumberFormat="1" applyFont="1" applyFill="1"/>
    <xf numFmtId="42" fontId="22" fillId="0" borderId="41" xfId="2511" applyNumberFormat="1" applyFont="1" applyFill="1" applyBorder="1"/>
    <xf numFmtId="183" fontId="7" fillId="0" borderId="19" xfId="0" applyFont="1" applyFill="1" applyBorder="1" applyAlignment="1">
      <alignment horizontal="left"/>
    </xf>
    <xf numFmtId="183" fontId="7" fillId="0" borderId="19" xfId="0" applyFont="1" applyFill="1" applyBorder="1" applyAlignment="1">
      <alignment horizontal="left" vertical="top"/>
    </xf>
    <xf numFmtId="183" fontId="7" fillId="0" borderId="0" xfId="0" quotePrefix="1" applyFont="1" applyFill="1" applyAlignment="1">
      <alignment horizontal="left"/>
    </xf>
    <xf numFmtId="10" fontId="7" fillId="0" borderId="0" xfId="2798" applyNumberFormat="1" applyFont="1" applyFill="1" applyAlignment="1" applyProtection="1">
      <protection locked="0"/>
    </xf>
    <xf numFmtId="0" fontId="24" fillId="0" borderId="0" xfId="0" applyNumberFormat="1" applyFont="1" applyFill="1" applyAlignment="1">
      <alignment horizontal="centerContinuous"/>
    </xf>
    <xf numFmtId="41" fontId="7" fillId="0" borderId="0" xfId="2464" applyNumberFormat="1" applyFont="1" applyFill="1" applyBorder="1" applyAlignment="1" applyProtection="1">
      <protection locked="0"/>
    </xf>
    <xf numFmtId="0" fontId="7" fillId="0" borderId="0" xfId="2791" applyFont="1"/>
    <xf numFmtId="0" fontId="81" fillId="0" borderId="0" xfId="2791" applyFont="1"/>
    <xf numFmtId="0" fontId="8" fillId="0" borderId="0" xfId="2791" applyFont="1" applyFill="1" applyAlignment="1" applyProtection="1">
      <alignment horizontal="centerContinuous"/>
      <protection locked="0"/>
    </xf>
    <xf numFmtId="0" fontId="7" fillId="0" borderId="0" xfId="2791" applyFont="1" applyAlignment="1">
      <alignment horizontal="centerContinuous"/>
    </xf>
    <xf numFmtId="0" fontId="8" fillId="0" borderId="0" xfId="2791" applyFont="1" applyAlignment="1">
      <alignment horizontal="centerContinuous"/>
    </xf>
    <xf numFmtId="0" fontId="8" fillId="0" borderId="0" xfId="2791" applyFont="1" applyFill="1" applyAlignment="1">
      <alignment horizontal="centerContinuous"/>
    </xf>
    <xf numFmtId="0" fontId="8" fillId="0" borderId="0" xfId="2791" applyFont="1" applyFill="1" applyAlignment="1" applyProtection="1">
      <alignment horizontal="center"/>
      <protection locked="0"/>
    </xf>
    <xf numFmtId="0" fontId="8" fillId="0" borderId="0" xfId="2791" applyFont="1" applyFill="1"/>
    <xf numFmtId="0" fontId="8" fillId="0" borderId="0" xfId="2791" applyFont="1" applyFill="1" applyBorder="1" applyAlignment="1">
      <alignment horizontal="center"/>
    </xf>
    <xf numFmtId="0" fontId="8" fillId="0" borderId="19" xfId="2791" applyFont="1" applyFill="1" applyBorder="1" applyAlignment="1">
      <alignment horizontal="center"/>
    </xf>
    <xf numFmtId="0" fontId="8" fillId="0" borderId="19" xfId="2791" applyFont="1" applyFill="1" applyBorder="1"/>
    <xf numFmtId="0" fontId="7" fillId="0" borderId="0" xfId="2791" applyFont="1" applyFill="1" applyAlignment="1">
      <alignment horizontal="center" vertical="center"/>
    </xf>
    <xf numFmtId="0" fontId="7" fillId="0" borderId="0" xfId="2791" applyFont="1" applyFill="1" applyAlignment="1">
      <alignment horizontal="center"/>
    </xf>
    <xf numFmtId="0" fontId="7" fillId="0" borderId="0" xfId="2791" applyFont="1" applyFill="1" applyAlignment="1">
      <alignment horizontal="left" vertical="center"/>
    </xf>
    <xf numFmtId="175" fontId="7" fillId="0" borderId="0" xfId="2566" applyNumberFormat="1" applyFont="1" applyFill="1" applyBorder="1" applyAlignment="1" applyProtection="1">
      <alignment vertical="center"/>
      <protection locked="0"/>
    </xf>
    <xf numFmtId="174" fontId="7" fillId="0" borderId="0" xfId="2508" applyNumberFormat="1" applyFont="1" applyFill="1" applyBorder="1" applyProtection="1">
      <protection locked="0"/>
    </xf>
    <xf numFmtId="0" fontId="7" fillId="0" borderId="0" xfId="2791" applyFont="1" applyFill="1" applyAlignment="1">
      <alignment horizontal="left"/>
    </xf>
    <xf numFmtId="0" fontId="7" fillId="0" borderId="0" xfId="2791" applyFont="1" applyFill="1" applyAlignment="1">
      <alignment horizontal="left" indent="1"/>
    </xf>
    <xf numFmtId="174" fontId="7" fillId="0" borderId="20" xfId="2508" applyNumberFormat="1" applyFont="1" applyFill="1" applyBorder="1" applyProtection="1">
      <protection locked="0"/>
    </xf>
    <xf numFmtId="175" fontId="7" fillId="0" borderId="41" xfId="2566" applyNumberFormat="1" applyFont="1" applyFill="1" applyBorder="1" applyAlignment="1" applyProtection="1">
      <alignment vertical="center"/>
      <protection locked="0"/>
    </xf>
    <xf numFmtId="174" fontId="7" fillId="0" borderId="0" xfId="2508" applyNumberFormat="1" applyFont="1" applyFill="1" applyBorder="1"/>
    <xf numFmtId="0" fontId="13" fillId="0" borderId="0" xfId="2803" applyFill="1" applyAlignment="1">
      <alignment horizontal="left" indent="1"/>
    </xf>
    <xf numFmtId="41" fontId="7" fillId="0" borderId="0" xfId="2464" applyNumberFormat="1" applyFont="1" applyFill="1" applyAlignment="1" applyProtection="1">
      <protection locked="0"/>
    </xf>
    <xf numFmtId="175" fontId="7" fillId="0" borderId="20" xfId="0" applyNumberFormat="1" applyFont="1" applyFill="1" applyBorder="1" applyAlignment="1"/>
    <xf numFmtId="42" fontId="7" fillId="0" borderId="0" xfId="2535" applyNumberFormat="1" applyFont="1" applyFill="1" applyAlignment="1"/>
    <xf numFmtId="41" fontId="7" fillId="0" borderId="0" xfId="0" applyNumberFormat="1" applyFont="1" applyFill="1" applyBorder="1" applyAlignment="1">
      <alignment horizontal="center"/>
    </xf>
    <xf numFmtId="178" fontId="7" fillId="0" borderId="20" xfId="0" applyNumberFormat="1" applyFont="1" applyFill="1" applyBorder="1" applyAlignment="1"/>
    <xf numFmtId="10" fontId="7" fillId="0" borderId="0" xfId="2837" applyNumberFormat="1" applyFont="1" applyFill="1" applyAlignment="1" applyProtection="1">
      <protection locked="0"/>
    </xf>
    <xf numFmtId="10" fontId="16" fillId="0" borderId="0" xfId="2837" applyNumberFormat="1" applyFont="1" applyFill="1" applyAlignment="1"/>
    <xf numFmtId="0" fontId="8" fillId="0" borderId="0" xfId="0" quotePrefix="1" applyNumberFormat="1" applyFont="1" applyFill="1" applyBorder="1" applyAlignment="1">
      <alignment horizontal="centerContinuous"/>
    </xf>
    <xf numFmtId="175" fontId="14" fillId="0" borderId="0" xfId="2535" applyNumberFormat="1" applyFont="1" applyBorder="1"/>
    <xf numFmtId="175" fontId="14" fillId="0" borderId="0" xfId="2535" applyNumberFormat="1" applyFont="1" applyFill="1" applyBorder="1"/>
    <xf numFmtId="0" fontId="14" fillId="0" borderId="0" xfId="0" applyNumberFormat="1" applyFont="1" applyAlignment="1"/>
    <xf numFmtId="174" fontId="14" fillId="0" borderId="0" xfId="0" applyNumberFormat="1" applyFont="1" applyAlignment="1"/>
    <xf numFmtId="42" fontId="7" fillId="0" borderId="0" xfId="0" applyNumberFormat="1" applyFont="1" applyAlignment="1"/>
    <xf numFmtId="41" fontId="13" fillId="0" borderId="0" xfId="0" applyNumberFormat="1" applyFont="1" applyAlignment="1"/>
    <xf numFmtId="41" fontId="0" fillId="0" borderId="0" xfId="0" applyNumberFormat="1" applyAlignment="1"/>
    <xf numFmtId="0" fontId="8" fillId="0" borderId="0" xfId="0" applyNumberFormat="1" applyFont="1" applyAlignment="1"/>
    <xf numFmtId="37" fontId="7" fillId="0" borderId="0" xfId="2464" applyNumberFormat="1" applyFont="1" applyAlignment="1"/>
    <xf numFmtId="37" fontId="7" fillId="0" borderId="19" xfId="2464" applyNumberFormat="1" applyFont="1" applyBorder="1" applyAlignment="1"/>
    <xf numFmtId="37" fontId="7" fillId="0" borderId="0" xfId="2464" applyNumberFormat="1" applyFont="1" applyBorder="1" applyAlignment="1"/>
    <xf numFmtId="37" fontId="7" fillId="0" borderId="0" xfId="2464" applyNumberFormat="1" applyFont="1" applyFill="1" applyAlignment="1" applyProtection="1">
      <protection locked="0"/>
    </xf>
    <xf numFmtId="0" fontId="8" fillId="0" borderId="0" xfId="0" applyNumberFormat="1" applyFont="1" applyAlignment="1">
      <alignment horizontal="right"/>
    </xf>
    <xf numFmtId="41" fontId="7" fillId="0" borderId="0" xfId="0" applyNumberFormat="1" applyFont="1" applyAlignment="1"/>
    <xf numFmtId="0" fontId="7" fillId="0" borderId="19" xfId="0" applyNumberFormat="1" applyFont="1" applyBorder="1" applyAlignment="1"/>
    <xf numFmtId="0" fontId="7" fillId="0" borderId="0" xfId="0" applyNumberFormat="1" applyFont="1" applyBorder="1" applyAlignment="1"/>
    <xf numFmtId="37" fontId="14" fillId="0" borderId="0" xfId="0" applyNumberFormat="1" applyFont="1" applyFill="1" applyBorder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center"/>
    </xf>
    <xf numFmtId="37" fontId="14" fillId="0" borderId="0" xfId="0" applyNumberFormat="1" applyFont="1" applyFill="1" applyAlignment="1" applyProtection="1">
      <alignment horizontal="left"/>
    </xf>
    <xf numFmtId="10" fontId="14" fillId="0" borderId="0" xfId="2837" applyNumberFormat="1" applyFont="1" applyFill="1" applyBorder="1" applyAlignment="1" applyProtection="1">
      <alignment horizontal="right"/>
    </xf>
    <xf numFmtId="37" fontId="14" fillId="0" borderId="0" xfId="0" applyNumberFormat="1" applyFont="1" applyFill="1" applyBorder="1" applyAlignment="1" applyProtection="1">
      <alignment horizontal="right"/>
    </xf>
    <xf numFmtId="37" fontId="117" fillId="0" borderId="0" xfId="0" applyNumberFormat="1" applyFont="1" applyFill="1" applyBorder="1" applyAlignment="1" applyProtection="1">
      <alignment horizontal="left"/>
    </xf>
    <xf numFmtId="37" fontId="117" fillId="0" borderId="0" xfId="0" applyNumberFormat="1" applyFont="1" applyFill="1" applyAlignment="1" applyProtection="1">
      <alignment horizontal="left"/>
    </xf>
    <xf numFmtId="176" fontId="14" fillId="0" borderId="0" xfId="0" applyNumberFormat="1" applyFont="1" applyFill="1" applyAlignment="1" applyProtection="1"/>
    <xf numFmtId="0" fontId="7" fillId="0" borderId="0" xfId="0" applyNumberFormat="1" applyFont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41" fontId="7" fillId="0" borderId="18" xfId="0" applyNumberFormat="1" applyFont="1" applyBorder="1" applyAlignment="1"/>
    <xf numFmtId="42" fontId="7" fillId="0" borderId="41" xfId="0" applyNumberFormat="1" applyFont="1" applyBorder="1" applyAlignment="1"/>
    <xf numFmtId="0" fontId="15" fillId="0" borderId="0" xfId="0" applyNumberFormat="1" applyFont="1" applyAlignment="1"/>
    <xf numFmtId="0" fontId="7" fillId="0" borderId="0" xfId="2791" applyFont="1" applyAlignment="1">
      <alignment horizontal="center"/>
    </xf>
    <xf numFmtId="14" fontId="7" fillId="0" borderId="19" xfId="2791" applyNumberFormat="1" applyFont="1" applyBorder="1" applyAlignment="1">
      <alignment horizontal="center"/>
    </xf>
    <xf numFmtId="0" fontId="7" fillId="0" borderId="0" xfId="2791" applyFont="1" applyAlignment="1">
      <alignment horizontal="centerContinuous" vertical="center"/>
    </xf>
    <xf numFmtId="14" fontId="7" fillId="0" borderId="19" xfId="2791" applyNumberFormat="1" applyFont="1" applyFill="1" applyBorder="1" applyAlignment="1">
      <alignment horizontal="center"/>
    </xf>
    <xf numFmtId="0" fontId="7" fillId="0" borderId="19" xfId="2791" applyFont="1" applyBorder="1" applyAlignment="1">
      <alignment horizontal="center"/>
    </xf>
    <xf numFmtId="0" fontId="7" fillId="0" borderId="0" xfId="2791" applyFont="1" applyBorder="1" applyAlignment="1">
      <alignment horizontal="center"/>
    </xf>
    <xf numFmtId="175" fontId="7" fillId="0" borderId="0" xfId="2566" applyNumberFormat="1" applyFont="1" applyFill="1"/>
    <xf numFmtId="174" fontId="7" fillId="0" borderId="0" xfId="2508" applyNumberFormat="1" applyFont="1" applyFill="1"/>
    <xf numFmtId="175" fontId="7" fillId="0" borderId="0" xfId="2791" applyNumberFormat="1" applyFont="1" applyBorder="1"/>
    <xf numFmtId="174" fontId="7" fillId="0" borderId="0" xfId="2508" applyNumberFormat="1" applyFont="1"/>
    <xf numFmtId="175" fontId="7" fillId="0" borderId="0" xfId="2791" applyNumberFormat="1" applyFont="1"/>
    <xf numFmtId="174" fontId="7" fillId="0" borderId="0" xfId="2508" applyNumberFormat="1" applyFont="1" applyBorder="1"/>
    <xf numFmtId="3" fontId="7" fillId="0" borderId="0" xfId="2464" applyNumberFormat="1" applyFont="1"/>
    <xf numFmtId="0" fontId="7" fillId="0" borderId="0" xfId="2791" applyFont="1" applyFill="1"/>
    <xf numFmtId="3" fontId="7" fillId="0" borderId="0" xfId="2464" applyNumberFormat="1" applyFont="1" applyFill="1"/>
    <xf numFmtId="174" fontId="7" fillId="0" borderId="0" xfId="2791" applyNumberFormat="1" applyFont="1"/>
    <xf numFmtId="0" fontId="7" fillId="0" borderId="0" xfId="2791" applyFont="1" applyBorder="1"/>
    <xf numFmtId="174" fontId="7" fillId="0" borderId="0" xfId="2791" applyNumberFormat="1" applyFont="1" applyBorder="1"/>
    <xf numFmtId="175" fontId="7" fillId="0" borderId="41" xfId="2791" applyNumberFormat="1" applyFont="1" applyBorder="1"/>
    <xf numFmtId="175" fontId="7" fillId="0" borderId="18" xfId="2791" applyNumberFormat="1" applyFont="1" applyBorder="1"/>
    <xf numFmtId="41" fontId="7" fillId="0" borderId="18" xfId="2791" applyNumberFormat="1" applyFont="1" applyBorder="1"/>
    <xf numFmtId="0" fontId="7" fillId="0" borderId="0" xfId="2791" applyFont="1" applyFill="1" applyBorder="1" applyAlignment="1">
      <alignment horizontal="centerContinuous"/>
    </xf>
    <xf numFmtId="0" fontId="7" fillId="0" borderId="0" xfId="2791" applyFont="1" applyFill="1" applyAlignment="1">
      <alignment horizontal="centerContinuous"/>
    </xf>
    <xf numFmtId="0" fontId="7" fillId="0" borderId="0" xfId="2791" applyFont="1" applyBorder="1" applyAlignment="1">
      <alignment horizontal="centerContinuous"/>
    </xf>
    <xf numFmtId="42" fontId="7" fillId="0" borderId="0" xfId="2791" applyNumberFormat="1" applyFont="1"/>
    <xf numFmtId="175" fontId="7" fillId="0" borderId="0" xfId="2566" applyNumberFormat="1" applyFont="1" applyBorder="1"/>
    <xf numFmtId="175" fontId="7" fillId="0" borderId="18" xfId="2566" applyNumberFormat="1" applyFont="1" applyBorder="1"/>
    <xf numFmtId="175" fontId="7" fillId="0" borderId="0" xfId="2566" applyNumberFormat="1" applyFont="1" applyBorder="1" applyAlignment="1">
      <alignment horizontal="right"/>
    </xf>
    <xf numFmtId="0" fontId="7" fillId="0" borderId="41" xfId="2791" applyFont="1" applyBorder="1"/>
    <xf numFmtId="41" fontId="118" fillId="0" borderId="41" xfId="2791" applyNumberFormat="1" applyFont="1" applyBorder="1"/>
    <xf numFmtId="41" fontId="7" fillId="0" borderId="41" xfId="2791" applyNumberFormat="1" applyFont="1" applyBorder="1"/>
    <xf numFmtId="0" fontId="7" fillId="0" borderId="19" xfId="2791" applyFont="1" applyBorder="1"/>
    <xf numFmtId="0" fontId="7" fillId="0" borderId="0" xfId="2791" applyFont="1" applyAlignment="1">
      <alignment horizontal="left"/>
    </xf>
    <xf numFmtId="0" fontId="7" fillId="0" borderId="0" xfId="2791" applyFont="1" applyFill="1" applyBorder="1" applyAlignment="1">
      <alignment horizontal="center"/>
    </xf>
    <xf numFmtId="0" fontId="7" fillId="0" borderId="0" xfId="2791" applyFont="1" applyFill="1" applyBorder="1" applyAlignment="1">
      <alignment horizontal="left"/>
    </xf>
    <xf numFmtId="0" fontId="7" fillId="0" borderId="0" xfId="2791" applyFont="1" applyAlignment="1">
      <alignment horizontal="left" indent="1"/>
    </xf>
    <xf numFmtId="0" fontId="7" fillId="0" borderId="41" xfId="2791" applyFont="1" applyBorder="1" applyAlignment="1">
      <alignment horizontal="center"/>
    </xf>
    <xf numFmtId="41" fontId="7" fillId="0" borderId="19" xfId="0" applyNumberFormat="1" applyFont="1" applyBorder="1" applyAlignment="1"/>
    <xf numFmtId="41" fontId="7" fillId="0" borderId="4" xfId="0" applyNumberFormat="1" applyFont="1" applyBorder="1" applyAlignment="1"/>
    <xf numFmtId="42" fontId="7" fillId="0" borderId="18" xfId="0" applyNumberFormat="1" applyFont="1" applyBorder="1" applyAlignment="1"/>
    <xf numFmtId="41" fontId="7" fillId="0" borderId="0" xfId="2791" applyNumberFormat="1" applyFont="1"/>
    <xf numFmtId="201" fontId="7" fillId="0" borderId="0" xfId="0" applyNumberFormat="1" applyFont="1" applyFill="1" applyAlignment="1"/>
    <xf numFmtId="44" fontId="7" fillId="0" borderId="18" xfId="0" applyNumberFormat="1" applyFont="1" applyBorder="1" applyAlignment="1"/>
    <xf numFmtId="41" fontId="15" fillId="0" borderId="0" xfId="0" applyNumberFormat="1" applyFont="1" applyAlignment="1"/>
    <xf numFmtId="41" fontId="7" fillId="0" borderId="19" xfId="0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Alignment="1"/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9" xfId="0" applyNumberFormat="1" applyFont="1" applyFill="1" applyBorder="1" applyAlignment="1">
      <alignment horizontal="right"/>
    </xf>
    <xf numFmtId="42" fontId="7" fillId="0" borderId="1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41" fontId="7" fillId="0" borderId="0" xfId="0" applyNumberFormat="1" applyFont="1" applyFill="1" applyBorder="1" applyAlignment="1">
      <alignment horizontal="right"/>
    </xf>
    <xf numFmtId="41" fontId="7" fillId="0" borderId="19" xfId="2535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>
      <alignment horizontal="right" wrapText="1"/>
    </xf>
    <xf numFmtId="42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2535" applyNumberFormat="1" applyFont="1" applyFill="1" applyProtection="1">
      <protection locked="0"/>
    </xf>
    <xf numFmtId="41" fontId="7" fillId="0" borderId="0" xfId="2464" applyNumberFormat="1" applyFont="1" applyFill="1" applyProtection="1">
      <protection locked="0"/>
    </xf>
    <xf numFmtId="41" fontId="7" fillId="0" borderId="19" xfId="2464" applyNumberFormat="1" applyFont="1" applyFill="1" applyBorder="1" applyProtection="1">
      <protection locked="0"/>
    </xf>
    <xf numFmtId="183" fontId="7" fillId="0" borderId="18" xfId="0" applyNumberFormat="1" applyFont="1" applyFill="1" applyBorder="1" applyAlignment="1" applyProtection="1">
      <protection locked="0"/>
    </xf>
    <xf numFmtId="0" fontId="8" fillId="0" borderId="48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7" fillId="0" borderId="0" xfId="2803" applyFont="1" applyAlignment="1">
      <alignment horizontal="centerContinuous"/>
    </xf>
    <xf numFmtId="0" fontId="7" fillId="0" borderId="0" xfId="2803" applyFont="1" applyAlignment="1">
      <alignment horizontal="center"/>
    </xf>
    <xf numFmtId="0" fontId="119" fillId="0" borderId="0" xfId="2803" applyFont="1" applyAlignment="1">
      <alignment horizontal="center"/>
    </xf>
    <xf numFmtId="0" fontId="7" fillId="0" borderId="0" xfId="2803" applyFont="1"/>
    <xf numFmtId="0" fontId="7" fillId="0" borderId="19" xfId="2803" applyFont="1" applyBorder="1" applyAlignment="1">
      <alignment horizontal="center"/>
    </xf>
    <xf numFmtId="0" fontId="7" fillId="0" borderId="0" xfId="2803" applyFont="1" applyBorder="1"/>
    <xf numFmtId="0" fontId="7" fillId="0" borderId="0" xfId="2803" applyFont="1" applyFill="1" applyBorder="1"/>
    <xf numFmtId="174" fontId="7" fillId="0" borderId="0" xfId="2513" applyNumberFormat="1" applyFont="1" applyFill="1" applyBorder="1"/>
    <xf numFmtId="10" fontId="7" fillId="0" borderId="0" xfId="2837" applyNumberFormat="1" applyFont="1" applyFill="1" applyBorder="1"/>
    <xf numFmtId="41" fontId="7" fillId="0" borderId="19" xfId="2513" applyNumberFormat="1" applyFont="1" applyFill="1" applyBorder="1"/>
    <xf numFmtId="41" fontId="7" fillId="0" borderId="0" xfId="2513" applyNumberFormat="1" applyFont="1" applyFill="1" applyBorder="1"/>
    <xf numFmtId="41" fontId="7" fillId="0" borderId="20" xfId="2513" applyNumberFormat="1" applyFont="1" applyFill="1" applyBorder="1"/>
    <xf numFmtId="41" fontId="8" fillId="0" borderId="0" xfId="0" applyNumberFormat="1" applyFont="1" applyAlignment="1"/>
    <xf numFmtId="0" fontId="7" fillId="0" borderId="49" xfId="0" applyNumberFormat="1" applyFont="1" applyBorder="1" applyAlignment="1"/>
    <xf numFmtId="0" fontId="7" fillId="0" borderId="35" xfId="0" applyNumberFormat="1" applyFont="1" applyBorder="1" applyAlignment="1"/>
    <xf numFmtId="0" fontId="7" fillId="0" borderId="37" xfId="0" applyNumberFormat="1" applyFont="1" applyBorder="1" applyAlignment="1"/>
    <xf numFmtId="0" fontId="7" fillId="0" borderId="39" xfId="0" applyNumberFormat="1" applyFont="1" applyBorder="1" applyAlignment="1"/>
    <xf numFmtId="0" fontId="8" fillId="0" borderId="37" xfId="0" applyNumberFormat="1" applyFont="1" applyBorder="1" applyAlignment="1"/>
    <xf numFmtId="0" fontId="8" fillId="0" borderId="38" xfId="0" applyNumberFormat="1" applyFont="1" applyBorder="1" applyAlignment="1"/>
    <xf numFmtId="0" fontId="7" fillId="0" borderId="40" xfId="0" applyNumberFormat="1" applyFont="1" applyBorder="1" applyAlignment="1"/>
    <xf numFmtId="0" fontId="7" fillId="0" borderId="38" xfId="0" applyNumberFormat="1" applyFont="1" applyBorder="1" applyAlignment="1"/>
    <xf numFmtId="41" fontId="7" fillId="0" borderId="39" xfId="0" applyNumberFormat="1" applyFont="1" applyBorder="1" applyAlignment="1"/>
    <xf numFmtId="41" fontId="7" fillId="0" borderId="40" xfId="0" applyNumberFormat="1" applyFont="1" applyBorder="1" applyAlignment="1"/>
    <xf numFmtId="0" fontId="7" fillId="0" borderId="62" xfId="0" applyNumberFormat="1" applyFont="1" applyBorder="1" applyAlignment="1"/>
    <xf numFmtId="0" fontId="7" fillId="0" borderId="63" xfId="0" applyNumberFormat="1" applyFont="1" applyBorder="1" applyAlignment="1"/>
    <xf numFmtId="0" fontId="8" fillId="0" borderId="63" xfId="0" applyNumberFormat="1" applyFont="1" applyBorder="1" applyAlignment="1">
      <alignment horizontal="center"/>
    </xf>
    <xf numFmtId="41" fontId="7" fillId="0" borderId="63" xfId="0" applyNumberFormat="1" applyFont="1" applyBorder="1" applyAlignment="1"/>
    <xf numFmtId="0" fontId="13" fillId="0" borderId="0" xfId="3038"/>
    <xf numFmtId="0" fontId="13" fillId="0" borderId="0" xfId="3038" applyBorder="1"/>
    <xf numFmtId="0" fontId="13" fillId="0" borderId="0" xfId="3038" applyAlignment="1">
      <alignment horizontal="center"/>
    </xf>
    <xf numFmtId="0" fontId="21" fillId="0" borderId="0" xfId="3038" applyFont="1"/>
    <xf numFmtId="0" fontId="33" fillId="0" borderId="0" xfId="3038" applyFont="1" applyFill="1" applyBorder="1" applyProtection="1"/>
    <xf numFmtId="0" fontId="33" fillId="0" borderId="0" xfId="3038" quotePrefix="1" applyFont="1" applyFill="1" applyBorder="1" applyAlignment="1" applyProtection="1">
      <alignment horizontal="left"/>
    </xf>
    <xf numFmtId="0" fontId="33" fillId="0" borderId="0" xfId="3038" applyFont="1" applyFill="1" applyBorder="1" applyAlignment="1" applyProtection="1">
      <alignment horizontal="right"/>
    </xf>
    <xf numFmtId="0" fontId="14" fillId="0" borderId="0" xfId="3038" applyFont="1" applyFill="1" applyBorder="1" applyAlignment="1" applyProtection="1">
      <alignment horizontal="left"/>
    </xf>
    <xf numFmtId="0" fontId="14" fillId="0" borderId="0" xfId="3038" applyFont="1" applyFill="1" applyBorder="1" applyProtection="1"/>
    <xf numFmtId="183" fontId="7" fillId="0" borderId="0" xfId="0" applyFont="1">
      <alignment horizontal="left" wrapText="1"/>
    </xf>
    <xf numFmtId="0" fontId="14" fillId="0" borderId="0" xfId="3038" quotePrefix="1" applyFont="1" applyFill="1" applyBorder="1" applyAlignment="1" applyProtection="1">
      <alignment horizontal="left"/>
    </xf>
    <xf numFmtId="183" fontId="14" fillId="0" borderId="0" xfId="0" applyFont="1" applyFill="1" applyBorder="1" applyAlignment="1" applyProtection="1">
      <alignment horizontal="left"/>
    </xf>
    <xf numFmtId="183" fontId="14" fillId="0" borderId="0" xfId="0" applyFont="1" applyFill="1" applyBorder="1" applyProtection="1">
      <alignment horizontal="left" wrapText="1"/>
    </xf>
    <xf numFmtId="0" fontId="14" fillId="0" borderId="0" xfId="3038" applyFont="1" applyFill="1" applyBorder="1" applyAlignment="1" applyProtection="1">
      <alignment horizontal="right"/>
    </xf>
    <xf numFmtId="0" fontId="7" fillId="0" borderId="0" xfId="3038" applyFont="1"/>
    <xf numFmtId="0" fontId="7" fillId="0" borderId="0" xfId="3038" applyFont="1" applyAlignment="1">
      <alignment horizontal="left" indent="1"/>
    </xf>
    <xf numFmtId="0" fontId="137" fillId="0" borderId="0" xfId="3038" applyFont="1" applyAlignment="1">
      <alignment horizontal="left"/>
    </xf>
    <xf numFmtId="0" fontId="7" fillId="0" borderId="0" xfId="3038" applyFont="1" applyBorder="1"/>
    <xf numFmtId="0" fontId="7" fillId="0" borderId="0" xfId="3038" applyFont="1" applyAlignment="1">
      <alignment horizontal="center"/>
    </xf>
    <xf numFmtId="0" fontId="7" fillId="0" borderId="0" xfId="3038" applyFont="1" applyBorder="1" applyAlignment="1">
      <alignment horizontal="center"/>
    </xf>
    <xf numFmtId="0" fontId="8" fillId="0" borderId="0" xfId="3038" applyFont="1"/>
    <xf numFmtId="0" fontId="7" fillId="0" borderId="19" xfId="3038" quotePrefix="1" applyFont="1" applyBorder="1" applyAlignment="1">
      <alignment horizontal="center"/>
    </xf>
    <xf numFmtId="0" fontId="7" fillId="0" borderId="19" xfId="3038" applyFont="1" applyBorder="1" applyAlignment="1">
      <alignment horizontal="center"/>
    </xf>
    <xf numFmtId="0" fontId="7" fillId="0" borderId="0" xfId="3038" quotePrefix="1" applyFont="1" applyBorder="1" applyAlignment="1">
      <alignment horizontal="center"/>
    </xf>
    <xf numFmtId="42" fontId="7" fillId="0" borderId="0" xfId="2464" applyNumberFormat="1" applyFont="1"/>
    <xf numFmtId="42" fontId="7" fillId="0" borderId="0" xfId="3039" applyNumberFormat="1" applyFont="1"/>
    <xf numFmtId="42" fontId="7" fillId="0" borderId="0" xfId="3039" applyNumberFormat="1" applyFont="1" applyBorder="1"/>
    <xf numFmtId="41" fontId="7" fillId="0" borderId="0" xfId="3040" applyNumberFormat="1" applyFont="1"/>
    <xf numFmtId="41" fontId="7" fillId="0" borderId="0" xfId="3040" applyNumberFormat="1" applyFont="1" applyBorder="1"/>
    <xf numFmtId="41" fontId="7" fillId="0" borderId="62" xfId="3038" applyNumberFormat="1" applyFont="1" applyBorder="1"/>
    <xf numFmtId="41" fontId="7" fillId="0" borderId="0" xfId="3038" applyNumberFormat="1" applyFont="1" applyBorder="1"/>
    <xf numFmtId="41" fontId="15" fillId="0" borderId="62" xfId="0" applyNumberFormat="1" applyFont="1" applyBorder="1">
      <alignment horizontal="left" wrapText="1"/>
    </xf>
    <xf numFmtId="41" fontId="15" fillId="0" borderId="0" xfId="0" applyNumberFormat="1" applyFont="1">
      <alignment horizontal="left" wrapText="1"/>
    </xf>
    <xf numFmtId="41" fontId="7" fillId="0" borderId="0" xfId="3038" applyNumberFormat="1" applyFont="1"/>
    <xf numFmtId="42" fontId="7" fillId="0" borderId="41" xfId="3039" applyNumberFormat="1" applyFont="1" applyBorder="1"/>
    <xf numFmtId="183" fontId="7" fillId="0" borderId="0" xfId="0" applyFont="1" applyBorder="1">
      <alignment horizontal="left" wrapText="1"/>
    </xf>
    <xf numFmtId="41" fontId="7" fillId="0" borderId="0" xfId="0" applyNumberFormat="1" applyFont="1">
      <alignment horizontal="left" wrapText="1"/>
    </xf>
    <xf numFmtId="0" fontId="13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indent="1"/>
    </xf>
    <xf numFmtId="175" fontId="7" fillId="0" borderId="0" xfId="3041" applyNumberFormat="1" applyFont="1"/>
    <xf numFmtId="174" fontId="7" fillId="0" borderId="0" xfId="2464" applyNumberFormat="1" applyFont="1" applyFill="1"/>
    <xf numFmtId="0" fontId="7" fillId="0" borderId="0" xfId="0" quotePrefix="1" applyNumberFormat="1" applyFont="1" applyAlignment="1">
      <alignment horizontal="left"/>
    </xf>
    <xf numFmtId="174" fontId="7" fillId="0" borderId="19" xfId="3041" applyNumberFormat="1" applyFont="1" applyFill="1" applyBorder="1"/>
    <xf numFmtId="41" fontId="7" fillId="0" borderId="0" xfId="0" applyNumberFormat="1" applyFont="1" applyAlignment="1">
      <alignment horizontal="right"/>
    </xf>
    <xf numFmtId="10" fontId="7" fillId="0" borderId="0" xfId="2837" applyNumberFormat="1" applyFont="1" applyAlignment="1">
      <alignment horizontal="left"/>
    </xf>
    <xf numFmtId="1" fontId="7" fillId="0" borderId="64" xfId="0" applyNumberFormat="1" applyFont="1" applyBorder="1" applyAlignment="1">
      <alignment horizontal="center" vertical="center"/>
    </xf>
    <xf numFmtId="183" fontId="138" fillId="0" borderId="64" xfId="0" applyFont="1" applyFill="1" applyBorder="1" applyAlignment="1" applyProtection="1">
      <alignment horizontal="center" vertical="center" wrapText="1"/>
    </xf>
    <xf numFmtId="183" fontId="139" fillId="0" borderId="64" xfId="0" applyFont="1" applyFill="1" applyBorder="1" applyAlignment="1">
      <alignment horizontal="center" vertical="center" wrapText="1"/>
    </xf>
    <xf numFmtId="183" fontId="139" fillId="0" borderId="64" xfId="0" applyFont="1" applyFill="1" applyBorder="1" applyAlignment="1" applyProtection="1">
      <alignment horizontal="center" vertical="center" wrapText="1"/>
    </xf>
    <xf numFmtId="15" fontId="139" fillId="0" borderId="64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/>
    <xf numFmtId="41" fontId="14" fillId="0" borderId="0" xfId="3041" applyNumberFormat="1" applyFont="1" applyFill="1" applyBorder="1" applyAlignment="1" applyProtection="1"/>
    <xf numFmtId="41" fontId="14" fillId="0" borderId="0" xfId="3041" applyNumberFormat="1" applyFont="1" applyFill="1" applyBorder="1" applyProtection="1"/>
    <xf numFmtId="10" fontId="14" fillId="0" borderId="0" xfId="2837" applyNumberFormat="1" applyFont="1" applyFill="1" applyBorder="1" applyProtection="1"/>
    <xf numFmtId="42" fontId="14" fillId="0" borderId="0" xfId="2464" applyNumberFormat="1" applyFont="1" applyFill="1" applyBorder="1" applyAlignment="1" applyProtection="1"/>
    <xf numFmtId="42" fontId="14" fillId="0" borderId="0" xfId="3041" applyNumberFormat="1" applyFont="1" applyFill="1" applyBorder="1" applyProtection="1"/>
    <xf numFmtId="10" fontId="14" fillId="0" borderId="0" xfId="2837" applyNumberFormat="1" applyFont="1" applyFill="1" applyBorder="1" applyAlignment="1">
      <alignment horizontal="right"/>
    </xf>
    <xf numFmtId="41" fontId="14" fillId="0" borderId="0" xfId="2464" applyNumberFormat="1" applyFont="1" applyFill="1" applyBorder="1" applyAlignment="1" applyProtection="1"/>
    <xf numFmtId="41" fontId="14" fillId="0" borderId="62" xfId="3041" applyNumberFormat="1" applyFont="1" applyFill="1" applyBorder="1" applyAlignment="1" applyProtection="1"/>
    <xf numFmtId="10" fontId="14" fillId="0" borderId="62" xfId="2837" applyNumberFormat="1" applyFont="1" applyFill="1" applyBorder="1" applyProtection="1"/>
    <xf numFmtId="41" fontId="14" fillId="0" borderId="62" xfId="3041" applyNumberFormat="1" applyFont="1" applyFill="1" applyBorder="1" applyProtection="1"/>
    <xf numFmtId="10" fontId="140" fillId="0" borderId="0" xfId="2837" applyNumberFormat="1" applyFont="1" applyFill="1" applyBorder="1" applyProtection="1"/>
    <xf numFmtId="42" fontId="14" fillId="0" borderId="62" xfId="3041" applyNumberFormat="1" applyFont="1" applyFill="1" applyBorder="1" applyAlignment="1" applyProtection="1"/>
    <xf numFmtId="42" fontId="14" fillId="0" borderId="62" xfId="3041" applyNumberFormat="1" applyFont="1" applyFill="1" applyBorder="1" applyProtection="1"/>
    <xf numFmtId="41" fontId="14" fillId="0" borderId="19" xfId="3041" applyNumberFormat="1" applyFont="1" applyFill="1" applyBorder="1" applyAlignment="1" applyProtection="1"/>
    <xf numFmtId="41" fontId="14" fillId="0" borderId="19" xfId="3041" applyNumberFormat="1" applyFont="1" applyFill="1" applyBorder="1" applyProtection="1"/>
    <xf numFmtId="0" fontId="8" fillId="0" borderId="0" xfId="0" applyNumberFormat="1" applyFont="1" applyBorder="1" applyAlignment="1"/>
    <xf numFmtId="0" fontId="7" fillId="0" borderId="0" xfId="0" applyNumberFormat="1" applyFont="1">
      <alignment horizontal="left" wrapText="1"/>
    </xf>
    <xf numFmtId="42" fontId="7" fillId="0" borderId="0" xfId="0" applyNumberFormat="1" applyFont="1" applyBorder="1">
      <alignment horizontal="left" wrapText="1"/>
    </xf>
    <xf numFmtId="41" fontId="7" fillId="0" borderId="0" xfId="0" applyNumberFormat="1" applyFont="1" applyFill="1" applyBorder="1">
      <alignment horizontal="left" wrapText="1"/>
    </xf>
    <xf numFmtId="41" fontId="7" fillId="0" borderId="0" xfId="2464" applyNumberFormat="1" applyFont="1" applyBorder="1"/>
    <xf numFmtId="41" fontId="7" fillId="0" borderId="0" xfId="0" applyNumberFormat="1" applyFont="1" applyBorder="1">
      <alignment horizontal="left" wrapText="1"/>
    </xf>
    <xf numFmtId="0" fontId="7" fillId="0" borderId="0" xfId="0" applyNumberFormat="1" applyFont="1" applyFill="1">
      <alignment horizontal="left" wrapText="1"/>
    </xf>
    <xf numFmtId="41" fontId="7" fillId="0" borderId="19" xfId="0" applyNumberFormat="1" applyFont="1" applyBorder="1">
      <alignment horizontal="left" wrapText="1"/>
    </xf>
    <xf numFmtId="49" fontId="7" fillId="0" borderId="0" xfId="0" applyNumberFormat="1" applyFont="1">
      <alignment horizontal="left" wrapText="1"/>
    </xf>
    <xf numFmtId="183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Alignment="1"/>
    <xf numFmtId="41" fontId="7" fillId="0" borderId="0" xfId="3041" applyNumberFormat="1" applyFont="1"/>
    <xf numFmtId="41" fontId="7" fillId="0" borderId="0" xfId="3041" applyNumberFormat="1" applyFont="1" applyFill="1"/>
    <xf numFmtId="0" fontId="0" fillId="0" borderId="0" xfId="0" applyNumberFormat="1" applyAlignment="1"/>
    <xf numFmtId="183" fontId="141" fillId="0" borderId="0" xfId="2802" applyFont="1" applyFill="1" applyAlignment="1"/>
    <xf numFmtId="183" fontId="7" fillId="0" borderId="0" xfId="2802" applyFont="1" applyFill="1" applyAlignment="1"/>
    <xf numFmtId="17" fontId="7" fillId="0" borderId="0" xfId="2802" applyNumberFormat="1" applyFont="1" applyFill="1" applyAlignment="1"/>
    <xf numFmtId="17" fontId="8" fillId="0" borderId="33" xfId="2802" applyNumberFormat="1" applyFont="1" applyFill="1" applyBorder="1" applyAlignment="1">
      <alignment horizontal="center" wrapText="1"/>
    </xf>
    <xf numFmtId="17" fontId="8" fillId="0" borderId="19" xfId="2802" applyNumberFormat="1" applyFont="1" applyFill="1" applyBorder="1" applyAlignment="1">
      <alignment horizontal="center"/>
    </xf>
    <xf numFmtId="183" fontId="142" fillId="0" borderId="34" xfId="2802" applyFont="1" applyFill="1" applyBorder="1" applyAlignment="1">
      <alignment horizontal="center"/>
    </xf>
    <xf numFmtId="42" fontId="7" fillId="0" borderId="0" xfId="2464" applyNumberFormat="1" applyFont="1" applyFill="1" applyAlignment="1">
      <alignment horizontal="right"/>
    </xf>
    <xf numFmtId="0" fontId="7" fillId="0" borderId="70" xfId="0" applyNumberFormat="1" applyFont="1" applyBorder="1" applyAlignment="1"/>
    <xf numFmtId="42" fontId="7" fillId="0" borderId="34" xfId="2802" applyNumberFormat="1" applyFont="1" applyFill="1" applyBorder="1" applyAlignment="1"/>
    <xf numFmtId="0" fontId="7" fillId="0" borderId="68" xfId="0" applyNumberFormat="1" applyFont="1" applyBorder="1" applyAlignment="1"/>
    <xf numFmtId="174" fontId="22" fillId="0" borderId="47" xfId="2516" applyNumberFormat="1" applyFont="1" applyFill="1" applyBorder="1" applyAlignment="1"/>
    <xf numFmtId="174" fontId="22" fillId="0" borderId="34" xfId="2516" applyNumberFormat="1" applyFont="1" applyFill="1" applyBorder="1" applyAlignment="1"/>
    <xf numFmtId="175" fontId="22" fillId="0" borderId="45" xfId="2802" applyNumberFormat="1" applyFont="1" applyFill="1" applyBorder="1" applyAlignment="1"/>
    <xf numFmtId="42" fontId="22" fillId="0" borderId="62" xfId="2511" applyNumberFormat="1" applyFont="1" applyFill="1" applyBorder="1"/>
    <xf numFmtId="10" fontId="13" fillId="0" borderId="0" xfId="2837" applyNumberFormat="1" applyFont="1" applyFill="1" applyAlignment="1">
      <alignment horizontal="right"/>
    </xf>
    <xf numFmtId="41" fontId="22" fillId="0" borderId="62" xfId="2511" applyNumberFormat="1" applyFont="1" applyFill="1" applyBorder="1"/>
    <xf numFmtId="41" fontId="13" fillId="0" borderId="0" xfId="2511" applyNumberFormat="1" applyFont="1" applyFill="1" applyBorder="1"/>
    <xf numFmtId="9" fontId="13" fillId="0" borderId="62" xfId="2837" applyFont="1" applyFill="1" applyBorder="1"/>
    <xf numFmtId="41" fontId="13" fillId="0" borderId="62" xfId="2511" applyNumberFormat="1" applyFont="1" applyFill="1" applyBorder="1"/>
    <xf numFmtId="0" fontId="13" fillId="0" borderId="0" xfId="2796" applyFont="1"/>
    <xf numFmtId="0" fontId="13" fillId="0" borderId="0" xfId="2796" applyFont="1" applyFill="1"/>
    <xf numFmtId="42" fontId="7" fillId="0" borderId="0" xfId="2483" applyNumberFormat="1" applyFont="1" applyFill="1"/>
    <xf numFmtId="42" fontId="7" fillId="0" borderId="0" xfId="2483" applyNumberFormat="1" applyFont="1" applyFill="1" applyBorder="1"/>
    <xf numFmtId="41" fontId="7" fillId="0" borderId="0" xfId="2483" applyNumberFormat="1" applyFont="1" applyFill="1"/>
    <xf numFmtId="41" fontId="7" fillId="0" borderId="0" xfId="2483" applyNumberFormat="1" applyFont="1" applyFill="1" applyBorder="1"/>
    <xf numFmtId="0" fontId="9" fillId="0" borderId="0" xfId="2807" applyFont="1" applyFill="1" applyBorder="1" applyAlignment="1">
      <alignment horizontal="left"/>
    </xf>
    <xf numFmtId="0" fontId="13" fillId="0" borderId="0" xfId="2796" applyFont="1" applyBorder="1"/>
    <xf numFmtId="0" fontId="13" fillId="0" borderId="0" xfId="2796" applyFont="1" applyFill="1" applyBorder="1"/>
    <xf numFmtId="41" fontId="7" fillId="0" borderId="19" xfId="2483" applyNumberFormat="1" applyFont="1" applyFill="1" applyBorder="1"/>
    <xf numFmtId="183" fontId="142" fillId="0" borderId="0" xfId="0" applyNumberFormat="1" applyFont="1" applyFill="1" applyAlignment="1">
      <alignment horizontal="left"/>
    </xf>
    <xf numFmtId="183" fontId="7" fillId="0" borderId="0" xfId="0" applyNumberFormat="1" applyFont="1" applyFill="1" applyAlignment="1">
      <alignment horizontal="left" indent="2"/>
    </xf>
    <xf numFmtId="183" fontId="7" fillId="0" borderId="0" xfId="0" applyNumberFormat="1" applyFont="1" applyAlignment="1">
      <alignment horizontal="left" indent="2"/>
    </xf>
    <xf numFmtId="183" fontId="7" fillId="0" borderId="0" xfId="0" applyNumberFormat="1" applyFont="1" applyAlignment="1">
      <alignment horizontal="left"/>
    </xf>
    <xf numFmtId="0" fontId="143" fillId="0" borderId="0" xfId="3043" applyFont="1" applyFill="1"/>
    <xf numFmtId="183" fontId="7" fillId="0" borderId="0" xfId="0" applyNumberFormat="1" applyFont="1" applyFill="1" applyAlignment="1">
      <alignment horizontal="left" indent="1"/>
    </xf>
    <xf numFmtId="41" fontId="7" fillId="0" borderId="19" xfId="2796" applyNumberFormat="1" applyFont="1" applyFill="1" applyBorder="1"/>
    <xf numFmtId="42" fontId="7" fillId="0" borderId="19" xfId="2464" applyNumberFormat="1" applyFont="1" applyFill="1" applyBorder="1"/>
    <xf numFmtId="183" fontId="7" fillId="0" borderId="0" xfId="0" applyNumberFormat="1" applyFont="1" applyFill="1" applyAlignment="1">
      <alignment horizontal="left"/>
    </xf>
    <xf numFmtId="0" fontId="142" fillId="0" borderId="0" xfId="0" applyNumberFormat="1" applyFont="1" applyFill="1" applyBorder="1" applyAlignment="1">
      <alignment horizontal="left"/>
    </xf>
    <xf numFmtId="42" fontId="7" fillId="0" borderId="41" xfId="2796" applyNumberFormat="1" applyFont="1" applyFill="1" applyBorder="1"/>
    <xf numFmtId="183" fontId="142" fillId="0" borderId="0" xfId="0" applyNumberFormat="1" applyFont="1" applyAlignment="1">
      <alignment horizontal="left"/>
    </xf>
    <xf numFmtId="183" fontId="7" fillId="0" borderId="0" xfId="0" applyNumberFormat="1" applyFont="1" applyAlignment="1">
      <alignment horizontal="left" indent="1"/>
    </xf>
    <xf numFmtId="183" fontId="13" fillId="0" borderId="0" xfId="0" applyFont="1" applyFill="1" applyAlignment="1">
      <alignment horizontal="left" wrapText="1"/>
    </xf>
    <xf numFmtId="183" fontId="7" fillId="0" borderId="0" xfId="0" applyFont="1" applyFill="1" applyBorder="1" applyAlignment="1"/>
    <xf numFmtId="183" fontId="7" fillId="0" borderId="0" xfId="0" applyFont="1" applyFill="1" applyBorder="1" applyAlignment="1">
      <alignment horizontal="left" wrapText="1"/>
    </xf>
    <xf numFmtId="9" fontId="7" fillId="0" borderId="0" xfId="2837" quotePrefix="1" applyFont="1" applyFill="1" applyBorder="1" applyAlignment="1">
      <alignment horizontal="right"/>
    </xf>
    <xf numFmtId="42" fontId="7" fillId="0" borderId="41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>
      <alignment horizontal="left" indent="1"/>
    </xf>
    <xf numFmtId="175" fontId="14" fillId="0" borderId="0" xfId="0" applyNumberFormat="1" applyFont="1" applyFill="1" applyAlignment="1"/>
    <xf numFmtId="175" fontId="14" fillId="0" borderId="41" xfId="0" applyNumberFormat="1" applyFont="1" applyFill="1" applyBorder="1" applyAlignment="1"/>
    <xf numFmtId="0" fontId="139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 indent="2"/>
    </xf>
    <xf numFmtId="174" fontId="14" fillId="0" borderId="0" xfId="2464" applyNumberFormat="1" applyFont="1" applyFill="1"/>
    <xf numFmtId="174" fontId="14" fillId="0" borderId="0" xfId="2464" applyNumberFormat="1" applyFont="1" applyFill="1" applyBorder="1"/>
    <xf numFmtId="175" fontId="7" fillId="0" borderId="41" xfId="2535" applyNumberFormat="1" applyFont="1" applyFill="1" applyBorder="1"/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5"/>
    </xf>
    <xf numFmtId="174" fontId="14" fillId="0" borderId="0" xfId="0" quotePrefix="1" applyNumberFormat="1" applyFont="1" applyFill="1" applyBorder="1" applyAlignment="1"/>
    <xf numFmtId="174" fontId="14" fillId="0" borderId="0" xfId="0" applyNumberFormat="1" applyFont="1" applyFill="1" applyBorder="1" applyAlignment="1"/>
    <xf numFmtId="41" fontId="7" fillId="0" borderId="0" xfId="2733" applyNumberFormat="1" applyFont="1" applyFill="1" applyBorder="1" applyAlignment="1">
      <alignment horizontal="right"/>
    </xf>
    <xf numFmtId="0" fontId="8" fillId="0" borderId="19" xfId="0" applyNumberFormat="1" applyFont="1" applyBorder="1" applyAlignment="1">
      <alignment horizontal="center"/>
    </xf>
    <xf numFmtId="175" fontId="14" fillId="0" borderId="0" xfId="0" applyNumberFormat="1" applyFont="1" applyFill="1" applyBorder="1" applyAlignment="1"/>
    <xf numFmtId="0" fontId="8" fillId="0" borderId="19" xfId="0" applyNumberFormat="1" applyFont="1" applyBorder="1" applyAlignment="1"/>
    <xf numFmtId="174" fontId="7" fillId="0" borderId="19" xfId="2508" applyNumberFormat="1" applyFont="1" applyFill="1" applyBorder="1"/>
    <xf numFmtId="174" fontId="7" fillId="0" borderId="19" xfId="2508" applyNumberFormat="1" applyFont="1" applyBorder="1"/>
    <xf numFmtId="0" fontId="7" fillId="0" borderId="64" xfId="2791" applyFont="1" applyBorder="1" applyAlignment="1">
      <alignment horizontal="center"/>
    </xf>
    <xf numFmtId="0" fontId="7" fillId="0" borderId="67" xfId="2791" applyFont="1" applyBorder="1" applyAlignment="1">
      <alignment horizontal="centerContinuous" vertical="center" wrapText="1"/>
    </xf>
    <xf numFmtId="0" fontId="8" fillId="0" borderId="0" xfId="0" applyNumberFormat="1" applyFont="1" applyAlignment="1">
      <alignment horizontal="center"/>
    </xf>
    <xf numFmtId="41" fontId="13" fillId="0" borderId="0" xfId="2515" applyNumberFormat="1" applyBorder="1" applyAlignment="1">
      <alignment vertical="top"/>
    </xf>
    <xf numFmtId="41" fontId="21" fillId="0" borderId="9" xfId="2570" applyNumberFormat="1" applyFont="1" applyBorder="1"/>
    <xf numFmtId="41" fontId="35" fillId="0" borderId="0" xfId="2570" applyNumberFormat="1" applyFont="1" applyBorder="1"/>
    <xf numFmtId="41" fontId="13" fillId="0" borderId="0" xfId="2515" applyNumberFormat="1"/>
    <xf numFmtId="41" fontId="32" fillId="0" borderId="17" xfId="2794" applyNumberFormat="1" applyFont="1" applyFill="1" applyBorder="1" applyAlignment="1">
      <alignment horizontal="center" wrapText="1"/>
    </xf>
    <xf numFmtId="41" fontId="33" fillId="0" borderId="20" xfId="2508" applyNumberFormat="1" applyFont="1" applyFill="1" applyBorder="1" applyAlignment="1">
      <alignment horizontal="right"/>
    </xf>
    <xf numFmtId="41" fontId="33" fillId="0" borderId="0" xfId="2508" applyNumberFormat="1" applyFont="1" applyFill="1" applyAlignment="1">
      <alignment horizontal="right"/>
    </xf>
    <xf numFmtId="41" fontId="33" fillId="0" borderId="18" xfId="2566" applyNumberFormat="1" applyFont="1" applyFill="1" applyBorder="1" applyAlignment="1">
      <alignment horizontal="right"/>
    </xf>
    <xf numFmtId="41" fontId="33" fillId="0" borderId="17" xfId="2794" applyNumberFormat="1" applyFont="1" applyBorder="1"/>
    <xf numFmtId="41" fontId="32" fillId="0" borderId="19" xfId="2794" applyNumberFormat="1" applyFont="1" applyBorder="1" applyAlignment="1">
      <alignment horizontal="centerContinuous"/>
    </xf>
    <xf numFmtId="41" fontId="33" fillId="0" borderId="0" xfId="2566" applyNumberFormat="1" applyFont="1" applyFill="1" applyAlignment="1">
      <alignment horizontal="right"/>
    </xf>
    <xf numFmtId="41" fontId="33" fillId="0" borderId="0" xfId="2794" applyNumberFormat="1" applyFont="1"/>
    <xf numFmtId="0" fontId="61" fillId="0" borderId="0" xfId="0" applyNumberFormat="1" applyFont="1" applyAlignment="1"/>
    <xf numFmtId="10" fontId="61" fillId="0" borderId="0" xfId="2837" applyNumberFormat="1" applyFont="1" applyAlignment="1"/>
    <xf numFmtId="0" fontId="61" fillId="0" borderId="74" xfId="0" applyNumberFormat="1" applyFont="1" applyBorder="1" applyAlignment="1">
      <alignment horizontal="center"/>
    </xf>
    <xf numFmtId="0" fontId="61" fillId="0" borderId="74" xfId="0" applyNumberFormat="1" applyFont="1" applyBorder="1" applyAlignment="1"/>
    <xf numFmtId="0" fontId="61" fillId="0" borderId="66" xfId="0" applyNumberFormat="1" applyFont="1" applyBorder="1" applyAlignment="1">
      <alignment horizontal="centerContinuous"/>
    </xf>
    <xf numFmtId="0" fontId="61" fillId="0" borderId="70" xfId="0" applyNumberFormat="1" applyFont="1" applyBorder="1" applyAlignment="1">
      <alignment horizontal="centerContinuous"/>
    </xf>
    <xf numFmtId="0" fontId="61" fillId="0" borderId="67" xfId="0" applyNumberFormat="1" applyFont="1" applyBorder="1" applyAlignment="1">
      <alignment horizontal="centerContinuous"/>
    </xf>
    <xf numFmtId="0" fontId="61" fillId="0" borderId="49" xfId="0" applyNumberFormat="1" applyFont="1" applyBorder="1" applyAlignment="1">
      <alignment horizontal="center"/>
    </xf>
    <xf numFmtId="41" fontId="61" fillId="0" borderId="0" xfId="2464" applyNumberFormat="1" applyFont="1" applyAlignment="1"/>
    <xf numFmtId="2" fontId="61" fillId="0" borderId="0" xfId="0" applyNumberFormat="1" applyFont="1" applyAlignment="1"/>
    <xf numFmtId="41" fontId="61" fillId="0" borderId="0" xfId="0" applyNumberFormat="1" applyFont="1" applyAlignment="1"/>
    <xf numFmtId="0" fontId="144" fillId="0" borderId="39" xfId="0" applyNumberFormat="1" applyFont="1" applyBorder="1" applyAlignment="1"/>
    <xf numFmtId="42" fontId="61" fillId="0" borderId="0" xfId="2464" applyNumberFormat="1" applyFont="1" applyBorder="1" applyAlignment="1"/>
    <xf numFmtId="0" fontId="61" fillId="0" borderId="65" xfId="0" applyNumberFormat="1" applyFont="1" applyBorder="1" applyAlignment="1"/>
    <xf numFmtId="0" fontId="61" fillId="0" borderId="62" xfId="0" applyNumberFormat="1" applyFont="1" applyBorder="1" applyAlignment="1"/>
    <xf numFmtId="0" fontId="61" fillId="0" borderId="63" xfId="0" applyNumberFormat="1" applyFont="1" applyBorder="1" applyAlignment="1"/>
    <xf numFmtId="42" fontId="61" fillId="0" borderId="38" xfId="2464" applyNumberFormat="1" applyFont="1" applyBorder="1" applyAlignment="1"/>
    <xf numFmtId="42" fontId="61" fillId="0" borderId="19" xfId="2464" applyNumberFormat="1" applyFont="1" applyBorder="1" applyAlignment="1"/>
    <xf numFmtId="42" fontId="61" fillId="0" borderId="40" xfId="2464" applyNumberFormat="1" applyFont="1" applyBorder="1" applyAlignment="1"/>
    <xf numFmtId="42" fontId="61" fillId="0" borderId="66" xfId="2464" applyNumberFormat="1" applyFont="1" applyBorder="1" applyAlignment="1"/>
    <xf numFmtId="42" fontId="61" fillId="0" borderId="70" xfId="2464" applyNumberFormat="1" applyFont="1" applyBorder="1" applyAlignment="1"/>
    <xf numFmtId="42" fontId="61" fillId="0" borderId="67" xfId="2464" applyNumberFormat="1" applyFont="1" applyBorder="1" applyAlignment="1"/>
    <xf numFmtId="2" fontId="61" fillId="0" borderId="37" xfId="0" applyNumberFormat="1" applyFont="1" applyBorder="1" applyAlignment="1">
      <alignment horizontal="left"/>
    </xf>
    <xf numFmtId="2" fontId="61" fillId="0" borderId="37" xfId="0" applyNumberFormat="1" applyFont="1" applyBorder="1" applyAlignment="1"/>
    <xf numFmtId="2" fontId="61" fillId="0" borderId="38" xfId="0" applyNumberFormat="1" applyFont="1" applyBorder="1" applyAlignment="1"/>
    <xf numFmtId="0" fontId="61" fillId="0" borderId="40" xfId="0" applyNumberFormat="1" applyFont="1" applyBorder="1" applyAlignment="1"/>
    <xf numFmtId="42" fontId="61" fillId="0" borderId="75" xfId="2464" applyNumberFormat="1" applyFont="1" applyBorder="1" applyAlignment="1"/>
    <xf numFmtId="42" fontId="61" fillId="0" borderId="68" xfId="2464" applyNumberFormat="1" applyFont="1" applyBorder="1" applyAlignment="1"/>
    <xf numFmtId="42" fontId="61" fillId="0" borderId="76" xfId="2464" applyNumberFormat="1" applyFont="1" applyBorder="1" applyAlignment="1"/>
    <xf numFmtId="0" fontId="61" fillId="0" borderId="50" xfId="0" applyNumberFormat="1" applyFont="1" applyBorder="1" applyAlignment="1">
      <alignment horizontal="center"/>
    </xf>
    <xf numFmtId="41" fontId="61" fillId="0" borderId="66" xfId="0" applyNumberFormat="1" applyFont="1" applyBorder="1" applyAlignment="1"/>
    <xf numFmtId="41" fontId="61" fillId="0" borderId="70" xfId="0" applyNumberFormat="1" applyFont="1" applyBorder="1" applyAlignment="1"/>
    <xf numFmtId="41" fontId="61" fillId="0" borderId="67" xfId="0" applyNumberFormat="1" applyFont="1" applyBorder="1" applyAlignment="1"/>
    <xf numFmtId="0" fontId="7" fillId="0" borderId="19" xfId="0" applyNumberFormat="1" applyFont="1" applyBorder="1" applyAlignment="1">
      <alignment horizontal="center"/>
    </xf>
    <xf numFmtId="174" fontId="22" fillId="0" borderId="19" xfId="2513" applyNumberFormat="1" applyFont="1" applyFill="1" applyBorder="1"/>
    <xf numFmtId="2" fontId="61" fillId="0" borderId="37" xfId="0" applyNumberFormat="1" applyFont="1" applyFill="1" applyBorder="1" applyAlignment="1">
      <alignment horizontal="left"/>
    </xf>
    <xf numFmtId="0" fontId="61" fillId="0" borderId="39" xfId="0" applyNumberFormat="1" applyFont="1" applyFill="1" applyBorder="1" applyAlignment="1"/>
    <xf numFmtId="41" fontId="61" fillId="0" borderId="0" xfId="2464" applyNumberFormat="1" applyFont="1" applyFill="1" applyBorder="1" applyAlignment="1"/>
    <xf numFmtId="41" fontId="61" fillId="0" borderId="39" xfId="2464" applyNumberFormat="1" applyFont="1" applyFill="1" applyBorder="1" applyAlignment="1"/>
    <xf numFmtId="41" fontId="61" fillId="0" borderId="37" xfId="2464" applyNumberFormat="1" applyFont="1" applyFill="1" applyBorder="1" applyAlignment="1"/>
    <xf numFmtId="0" fontId="61" fillId="0" borderId="0" xfId="0" applyNumberFormat="1" applyFont="1" applyFill="1" applyAlignment="1"/>
    <xf numFmtId="0" fontId="7" fillId="0" borderId="19" xfId="0" applyNumberFormat="1" applyFont="1" applyBorder="1" applyAlignment="1">
      <alignment horizontal="center"/>
    </xf>
    <xf numFmtId="0" fontId="8" fillId="0" borderId="0" xfId="2797" applyFont="1" applyFill="1" applyAlignment="1" applyProtection="1">
      <protection locked="0"/>
    </xf>
    <xf numFmtId="168" fontId="24" fillId="0" borderId="19" xfId="2791" applyNumberFormat="1" applyFont="1" applyBorder="1" applyAlignment="1">
      <alignment horizontal="center"/>
    </xf>
    <xf numFmtId="44" fontId="7" fillId="0" borderId="0" xfId="2791" applyNumberFormat="1" applyFont="1"/>
    <xf numFmtId="0" fontId="7" fillId="0" borderId="66" xfId="2791" applyFont="1" applyBorder="1" applyAlignment="1">
      <alignment horizontal="centerContinuous" wrapText="1"/>
    </xf>
    <xf numFmtId="0" fontId="7" fillId="0" borderId="73" xfId="0" applyNumberFormat="1" applyFont="1" applyBorder="1" applyAlignment="1"/>
    <xf numFmtId="174" fontId="7" fillId="0" borderId="41" xfId="2508" applyNumberFormat="1" applyFont="1" applyFill="1" applyBorder="1"/>
    <xf numFmtId="0" fontId="7" fillId="0" borderId="66" xfId="2791" applyFont="1" applyBorder="1" applyAlignment="1">
      <alignment horizontal="centerContinuous"/>
    </xf>
    <xf numFmtId="0" fontId="7" fillId="0" borderId="70" xfId="2791" applyFont="1" applyBorder="1" applyAlignment="1">
      <alignment horizontal="centerContinuous"/>
    </xf>
    <xf numFmtId="0" fontId="7" fillId="0" borderId="67" xfId="2791" applyFont="1" applyBorder="1" applyAlignment="1">
      <alignment horizontal="centerContinuous"/>
    </xf>
    <xf numFmtId="0" fontId="7" fillId="0" borderId="0" xfId="0" applyNumberFormat="1" applyFont="1" applyAlignment="1"/>
    <xf numFmtId="1" fontId="21" fillId="0" borderId="0" xfId="2465" quotePrefix="1" applyNumberFormat="1" applyFont="1" applyFill="1" applyBorder="1" applyAlignment="1">
      <alignment horizontal="center"/>
    </xf>
    <xf numFmtId="174" fontId="13" fillId="0" borderId="0" xfId="2465" applyNumberFormat="1" applyFont="1" applyFill="1" applyBorder="1"/>
    <xf numFmtId="174" fontId="70" fillId="0" borderId="37" xfId="2724" applyNumberFormat="1" applyFont="1" applyFill="1" applyBorder="1"/>
    <xf numFmtId="175" fontId="70" fillId="0" borderId="66" xfId="2537" applyNumberFormat="1" applyFont="1" applyFill="1" applyBorder="1"/>
    <xf numFmtId="41" fontId="13" fillId="0" borderId="0" xfId="0" applyNumberFormat="1" applyFont="1" applyFill="1" applyAlignment="1"/>
    <xf numFmtId="0" fontId="0" fillId="0" borderId="38" xfId="0" applyNumberFormat="1" applyFill="1" applyBorder="1" applyAlignment="1"/>
    <xf numFmtId="0" fontId="0" fillId="0" borderId="19" xfId="0" applyNumberFormat="1" applyFill="1" applyBorder="1" applyAlignment="1"/>
    <xf numFmtId="6" fontId="13" fillId="0" borderId="19" xfId="2535" applyNumberFormat="1" applyFont="1" applyFill="1" applyBorder="1" applyAlignment="1"/>
    <xf numFmtId="3" fontId="13" fillId="0" borderId="19" xfId="2464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174" fontId="13" fillId="0" borderId="49" xfId="2465" applyNumberFormat="1" applyFont="1" applyFill="1" applyBorder="1"/>
    <xf numFmtId="3" fontId="0" fillId="0" borderId="0" xfId="2464" applyNumberFormat="1" applyFont="1" applyAlignment="1"/>
    <xf numFmtId="3" fontId="0" fillId="0" borderId="0" xfId="2464" applyNumberFormat="1" applyFont="1" applyFill="1" applyAlignment="1"/>
    <xf numFmtId="3" fontId="33" fillId="0" borderId="0" xfId="2464" applyNumberFormat="1" applyFont="1" applyFill="1" applyBorder="1" applyAlignment="1">
      <alignment horizontal="right"/>
    </xf>
    <xf numFmtId="3" fontId="13" fillId="0" borderId="0" xfId="2464" applyNumberFormat="1" applyFont="1" applyFill="1" applyBorder="1"/>
    <xf numFmtId="3" fontId="13" fillId="0" borderId="0" xfId="2464" applyNumberFormat="1" applyFont="1" applyBorder="1"/>
    <xf numFmtId="3" fontId="33" fillId="0" borderId="0" xfId="2464" applyNumberFormat="1" applyFont="1" applyFill="1"/>
    <xf numFmtId="3" fontId="33" fillId="0" borderId="0" xfId="2464" applyNumberFormat="1" applyFont="1" applyFill="1" applyBorder="1"/>
    <xf numFmtId="3" fontId="13" fillId="0" borderId="0" xfId="2464" applyNumberFormat="1" applyFont="1" applyFill="1" applyBorder="1" applyAlignment="1">
      <alignment horizontal="right"/>
    </xf>
    <xf numFmtId="202" fontId="8" fillId="0" borderId="0" xfId="0" applyNumberFormat="1" applyFont="1" applyAlignment="1"/>
    <xf numFmtId="0" fontId="6" fillId="0" borderId="0" xfId="0" applyNumberFormat="1" applyFont="1" applyAlignment="1"/>
    <xf numFmtId="0" fontId="8" fillId="0" borderId="0" xfId="2803" applyFont="1" applyBorder="1"/>
    <xf numFmtId="0" fontId="7" fillId="46" borderId="70" xfId="0" applyNumberFormat="1" applyFont="1" applyFill="1" applyBorder="1" applyAlignment="1"/>
    <xf numFmtId="189" fontId="8" fillId="0" borderId="69" xfId="0" quotePrefix="1" applyNumberFormat="1" applyFont="1" applyFill="1" applyBorder="1" applyAlignment="1">
      <alignment horizontal="right"/>
    </xf>
    <xf numFmtId="42" fontId="7" fillId="0" borderId="41" xfId="2535" applyNumberFormat="1" applyFont="1" applyFill="1" applyBorder="1" applyAlignment="1"/>
    <xf numFmtId="42" fontId="61" fillId="0" borderId="0" xfId="0" applyNumberFormat="1" applyFont="1" applyAlignment="1"/>
    <xf numFmtId="41" fontId="24" fillId="0" borderId="0" xfId="0" applyNumberFormat="1" applyFont="1" applyFill="1" applyAlignment="1"/>
    <xf numFmtId="42" fontId="146" fillId="0" borderId="0" xfId="2535" applyNumberFormat="1" applyFont="1" applyFill="1" applyAlignment="1" applyProtection="1">
      <protection locked="0"/>
    </xf>
    <xf numFmtId="171" fontId="24" fillId="0" borderId="0" xfId="0" applyNumberFormat="1" applyFont="1" applyFill="1" applyAlignment="1" applyProtection="1">
      <protection locked="0"/>
    </xf>
    <xf numFmtId="41" fontId="146" fillId="0" borderId="0" xfId="2535" applyNumberFormat="1" applyFont="1" applyFill="1" applyBorder="1" applyAlignment="1" applyProtection="1">
      <protection locked="0"/>
    </xf>
    <xf numFmtId="42" fontId="24" fillId="0" borderId="0" xfId="0" applyNumberFormat="1" applyFont="1" applyFill="1" applyAlignment="1"/>
    <xf numFmtId="41" fontId="24" fillId="0" borderId="0" xfId="0" applyNumberFormat="1" applyFont="1" applyFill="1" applyBorder="1" applyAlignment="1" applyProtection="1">
      <protection locked="0"/>
    </xf>
    <xf numFmtId="42" fontId="24" fillId="0" borderId="20" xfId="2535" applyNumberFormat="1" applyFont="1" applyFill="1" applyBorder="1" applyAlignment="1" applyProtection="1">
      <protection locked="0"/>
    </xf>
    <xf numFmtId="41" fontId="24" fillId="0" borderId="0" xfId="0" applyNumberFormat="1" applyFont="1" applyFill="1" applyAlignment="1" applyProtection="1">
      <protection locked="0"/>
    </xf>
    <xf numFmtId="41" fontId="24" fillId="0" borderId="19" xfId="0" applyNumberFormat="1" applyFont="1" applyFill="1" applyBorder="1" applyAlignment="1" applyProtection="1">
      <protection locked="0"/>
    </xf>
    <xf numFmtId="0" fontId="24" fillId="0" borderId="20" xfId="0" applyNumberFormat="1" applyFont="1" applyFill="1" applyBorder="1" applyAlignment="1"/>
    <xf numFmtId="41" fontId="24" fillId="0" borderId="0" xfId="0" applyNumberFormat="1" applyFont="1" applyAlignment="1"/>
    <xf numFmtId="42" fontId="24" fillId="0" borderId="18" xfId="0" applyNumberFormat="1" applyFont="1" applyBorder="1" applyAlignment="1"/>
    <xf numFmtId="175" fontId="24" fillId="0" borderId="0" xfId="2566" applyNumberFormat="1" applyFont="1" applyFill="1"/>
    <xf numFmtId="174" fontId="24" fillId="0" borderId="0" xfId="2508" applyNumberFormat="1" applyFont="1" applyFill="1"/>
    <xf numFmtId="174" fontId="24" fillId="0" borderId="0" xfId="2508" applyNumberFormat="1" applyFont="1" applyFill="1" applyBorder="1"/>
    <xf numFmtId="42" fontId="24" fillId="0" borderId="41" xfId="0" applyNumberFormat="1" applyFont="1" applyBorder="1" applyAlignment="1"/>
    <xf numFmtId="174" fontId="24" fillId="0" borderId="19" xfId="2508" applyNumberFormat="1" applyFont="1" applyFill="1" applyBorder="1"/>
    <xf numFmtId="175" fontId="24" fillId="0" borderId="41" xfId="2791" applyNumberFormat="1" applyFont="1" applyBorder="1"/>
    <xf numFmtId="174" fontId="24" fillId="0" borderId="0" xfId="2508" applyNumberFormat="1" applyFont="1"/>
    <xf numFmtId="174" fontId="24" fillId="0" borderId="0" xfId="2508" applyNumberFormat="1" applyFont="1" applyBorder="1"/>
    <xf numFmtId="41" fontId="24" fillId="0" borderId="0" xfId="2796" applyNumberFormat="1" applyFont="1" applyFill="1" applyBorder="1"/>
    <xf numFmtId="41" fontId="24" fillId="0" borderId="19" xfId="2483" applyNumberFormat="1" applyFont="1" applyFill="1" applyBorder="1"/>
    <xf numFmtId="41" fontId="24" fillId="0" borderId="20" xfId="0" applyNumberFormat="1" applyFont="1" applyFill="1" applyBorder="1" applyAlignment="1"/>
    <xf numFmtId="41" fontId="24" fillId="0" borderId="19" xfId="0" applyNumberFormat="1" applyFont="1" applyFill="1" applyBorder="1" applyAlignment="1"/>
    <xf numFmtId="41" fontId="24" fillId="0" borderId="70" xfId="0" applyNumberFormat="1" applyFont="1" applyBorder="1" applyAlignment="1"/>
    <xf numFmtId="41" fontId="24" fillId="0" borderId="0" xfId="2464" applyNumberFormat="1" applyFont="1" applyFill="1" applyBorder="1"/>
    <xf numFmtId="42" fontId="24" fillId="0" borderId="0" xfId="0" applyNumberFormat="1" applyFont="1" applyFill="1" applyAlignment="1" applyProtection="1">
      <protection locked="0"/>
    </xf>
    <xf numFmtId="41" fontId="24" fillId="0" borderId="20" xfId="0" applyNumberFormat="1" applyFont="1" applyFill="1" applyBorder="1" applyAlignment="1" applyProtection="1">
      <protection locked="0"/>
    </xf>
    <xf numFmtId="42" fontId="24" fillId="0" borderId="41" xfId="2464" applyNumberFormat="1" applyFont="1" applyFill="1" applyBorder="1" applyAlignment="1"/>
    <xf numFmtId="175" fontId="22" fillId="0" borderId="0" xfId="2569" applyNumberFormat="1" applyFont="1" applyFill="1"/>
    <xf numFmtId="174" fontId="22" fillId="0" borderId="0" xfId="2513" applyNumberFormat="1" applyFont="1" applyFill="1"/>
    <xf numFmtId="175" fontId="22" fillId="0" borderId="20" xfId="2569" applyNumberFormat="1" applyFont="1" applyFill="1" applyBorder="1"/>
    <xf numFmtId="0" fontId="22" fillId="0" borderId="0" xfId="2803" applyFont="1" applyAlignment="1">
      <alignment horizontal="center"/>
    </xf>
    <xf numFmtId="175" fontId="22" fillId="0" borderId="0" xfId="2569" applyNumberFormat="1" applyFont="1" applyFill="1" applyBorder="1"/>
    <xf numFmtId="174" fontId="22" fillId="0" borderId="0" xfId="2513" applyNumberFormat="1" applyFont="1" applyFill="1" applyBorder="1"/>
    <xf numFmtId="174" fontId="22" fillId="0" borderId="4" xfId="2513" applyNumberFormat="1" applyFont="1" applyFill="1" applyBorder="1"/>
    <xf numFmtId="175" fontId="22" fillId="0" borderId="41" xfId="2569" applyNumberFormat="1" applyFont="1" applyFill="1" applyBorder="1"/>
    <xf numFmtId="41" fontId="24" fillId="0" borderId="0" xfId="2464" applyNumberFormat="1" applyFont="1" applyFill="1" applyAlignment="1" applyProtection="1">
      <protection locked="0"/>
    </xf>
    <xf numFmtId="37" fontId="24" fillId="0" borderId="0" xfId="2464" applyNumberFormat="1" applyFont="1" applyFill="1" applyBorder="1"/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Alignment="1">
      <alignment horizontal="center"/>
    </xf>
    <xf numFmtId="0" fontId="61" fillId="0" borderId="0" xfId="0" applyNumberFormat="1" applyFont="1" applyAlignment="1">
      <alignment horizontal="center"/>
    </xf>
    <xf numFmtId="0" fontId="144" fillId="0" borderId="0" xfId="0" applyNumberFormat="1" applyFont="1" applyBorder="1" applyAlignment="1"/>
    <xf numFmtId="0" fontId="61" fillId="0" borderId="19" xfId="0" applyNumberFormat="1" applyFont="1" applyBorder="1" applyAlignment="1"/>
    <xf numFmtId="0" fontId="61" fillId="0" borderId="0" xfId="0" applyNumberFormat="1" applyFont="1" applyFill="1" applyBorder="1" applyAlignment="1">
      <alignment horizontal="center"/>
    </xf>
    <xf numFmtId="0" fontId="61" fillId="0" borderId="0" xfId="2800" applyFont="1" applyFill="1" applyBorder="1" applyAlignment="1"/>
    <xf numFmtId="0" fontId="61" fillId="0" borderId="0" xfId="2800" applyFont="1" applyFill="1"/>
    <xf numFmtId="0" fontId="12" fillId="0" borderId="0" xfId="0" applyNumberFormat="1" applyFont="1" applyFill="1" applyAlignment="1">
      <alignment horizontal="right"/>
    </xf>
    <xf numFmtId="0" fontId="72" fillId="0" borderId="0" xfId="2800" applyFont="1" applyFill="1"/>
    <xf numFmtId="0" fontId="12" fillId="0" borderId="0" xfId="0" applyNumberFormat="1" applyFont="1" applyAlignment="1">
      <alignment horizontal="right"/>
    </xf>
    <xf numFmtId="0" fontId="61" fillId="0" borderId="0" xfId="2800" applyFont="1" applyFill="1" applyAlignment="1">
      <alignment horizontal="center"/>
    </xf>
    <xf numFmtId="0" fontId="12" fillId="0" borderId="0" xfId="2800" applyFont="1" applyFill="1" applyAlignment="1">
      <alignment horizontal="left"/>
    </xf>
    <xf numFmtId="0" fontId="61" fillId="0" borderId="0" xfId="2800" applyFont="1" applyFill="1" applyAlignment="1">
      <alignment horizontal="right"/>
    </xf>
    <xf numFmtId="174" fontId="61" fillId="0" borderId="0" xfId="2512" applyNumberFormat="1" applyFont="1" applyFill="1"/>
    <xf numFmtId="0" fontId="61" fillId="0" borderId="0" xfId="2800" quotePrefix="1" applyFont="1" applyFill="1" applyAlignment="1">
      <alignment horizontal="left"/>
    </xf>
    <xf numFmtId="0" fontId="12" fillId="0" borderId="19" xfId="2800" applyFont="1" applyFill="1" applyBorder="1" applyAlignment="1">
      <alignment horizontal="center"/>
    </xf>
    <xf numFmtId="174" fontId="12" fillId="0" borderId="0" xfId="2512" applyNumberFormat="1" applyFont="1" applyFill="1" applyAlignment="1">
      <alignment horizontal="center"/>
    </xf>
    <xf numFmtId="0" fontId="61" fillId="0" borderId="0" xfId="2800" applyFont="1" applyFill="1" applyAlignment="1">
      <alignment horizontal="left"/>
    </xf>
    <xf numFmtId="41" fontId="61" fillId="0" borderId="0" xfId="2800" applyNumberFormat="1" applyFont="1" applyFill="1"/>
    <xf numFmtId="41" fontId="61" fillId="0" borderId="0" xfId="2512" applyNumberFormat="1" applyFont="1" applyFill="1" applyAlignment="1">
      <alignment horizontal="right"/>
    </xf>
    <xf numFmtId="41" fontId="61" fillId="0" borderId="19" xfId="0" applyNumberFormat="1" applyFont="1" applyBorder="1" applyAlignment="1"/>
    <xf numFmtId="174" fontId="61" fillId="0" borderId="0" xfId="2512" applyNumberFormat="1" applyFont="1" applyFill="1" applyAlignment="1">
      <alignment horizontal="center"/>
    </xf>
    <xf numFmtId="43" fontId="61" fillId="0" borderId="0" xfId="2800" applyNumberFormat="1" applyFont="1" applyFill="1" applyAlignment="1">
      <alignment horizontal="right"/>
    </xf>
    <xf numFmtId="41" fontId="61" fillId="0" borderId="0" xfId="2512" applyNumberFormat="1" applyFont="1" applyFill="1"/>
    <xf numFmtId="0" fontId="61" fillId="0" borderId="19" xfId="2800" applyFont="1" applyFill="1" applyBorder="1" applyAlignment="1">
      <alignment horizontal="center"/>
    </xf>
    <xf numFmtId="174" fontId="61" fillId="0" borderId="19" xfId="2512" applyNumberFormat="1" applyFont="1" applyFill="1" applyBorder="1" applyAlignment="1">
      <alignment horizontal="center"/>
    </xf>
    <xf numFmtId="204" fontId="61" fillId="0" borderId="0" xfId="0" applyNumberFormat="1" applyFont="1" applyAlignment="1"/>
    <xf numFmtId="0" fontId="147" fillId="0" borderId="0" xfId="0" applyNumberFormat="1" applyFont="1" applyAlignment="1"/>
    <xf numFmtId="0" fontId="148" fillId="0" borderId="0" xfId="0" applyNumberFormat="1" applyFont="1" applyAlignment="1"/>
    <xf numFmtId="183" fontId="61" fillId="0" borderId="0" xfId="0" applyFont="1" applyFill="1">
      <alignment horizontal="left" wrapText="1"/>
    </xf>
    <xf numFmtId="41" fontId="61" fillId="0" borderId="19" xfId="2512" applyNumberFormat="1" applyFont="1" applyFill="1" applyBorder="1"/>
    <xf numFmtId="183" fontId="61" fillId="0" borderId="0" xfId="0" applyFont="1" applyFill="1" applyAlignment="1">
      <alignment horizontal="left"/>
    </xf>
    <xf numFmtId="183" fontId="147" fillId="0" borderId="0" xfId="0" applyFont="1" applyFill="1" applyAlignment="1">
      <alignment horizontal="left"/>
    </xf>
    <xf numFmtId="41" fontId="61" fillId="0" borderId="0" xfId="2800" applyNumberFormat="1" applyFont="1" applyFill="1" applyAlignment="1">
      <alignment horizontal="center"/>
    </xf>
    <xf numFmtId="49" fontId="61" fillId="0" borderId="0" xfId="0" applyNumberFormat="1" applyFont="1" applyAlignment="1">
      <alignment horizontal="left"/>
    </xf>
    <xf numFmtId="49" fontId="61" fillId="0" borderId="0" xfId="2512" applyNumberFormat="1" applyFont="1" applyFill="1" applyAlignment="1">
      <alignment horizontal="left"/>
    </xf>
    <xf numFmtId="0" fontId="72" fillId="0" borderId="0" xfId="2800" applyFont="1" applyFill="1" applyAlignment="1">
      <alignment horizontal="center"/>
    </xf>
    <xf numFmtId="174" fontId="72" fillId="0" borderId="0" xfId="2512" applyNumberFormat="1" applyFont="1" applyFill="1"/>
    <xf numFmtId="0" fontId="8" fillId="0" borderId="0" xfId="0" applyNumberFormat="1" applyFont="1" applyAlignment="1">
      <alignment horizontal="center"/>
    </xf>
    <xf numFmtId="0" fontId="0" fillId="0" borderId="0" xfId="0" applyNumberFormat="1" applyFill="1" applyAlignment="1"/>
    <xf numFmtId="42" fontId="8" fillId="0" borderId="68" xfId="0" applyNumberFormat="1" applyFont="1" applyBorder="1" applyAlignment="1"/>
    <xf numFmtId="42" fontId="24" fillId="0" borderId="70" xfId="0" applyNumberFormat="1" applyFont="1" applyFill="1" applyBorder="1" applyAlignment="1"/>
    <xf numFmtId="41" fontId="24" fillId="0" borderId="20" xfId="0" applyNumberFormat="1" applyFont="1" applyFill="1" applyBorder="1">
      <alignment horizontal="left" wrapText="1"/>
    </xf>
    <xf numFmtId="42" fontId="24" fillId="0" borderId="70" xfId="0" applyNumberFormat="1" applyFont="1" applyBorder="1" applyAlignment="1"/>
    <xf numFmtId="0" fontId="149" fillId="0" borderId="0" xfId="0" applyNumberFormat="1" applyFont="1" applyAlignment="1"/>
    <xf numFmtId="42" fontId="24" fillId="0" borderId="0" xfId="2464" applyNumberFormat="1" applyFont="1" applyFill="1" applyBorder="1" applyAlignment="1"/>
    <xf numFmtId="167" fontId="7" fillId="0" borderId="0" xfId="0" applyNumberFormat="1" applyFont="1" applyFill="1" applyAlignment="1">
      <alignment horizontal="center"/>
    </xf>
    <xf numFmtId="41" fontId="24" fillId="0" borderId="70" xfId="0" applyNumberFormat="1" applyFont="1" applyFill="1" applyBorder="1" applyAlignment="1"/>
    <xf numFmtId="42" fontId="24" fillId="0" borderId="0" xfId="0" applyNumberFormat="1" applyFont="1" applyAlignment="1"/>
    <xf numFmtId="41" fontId="24" fillId="0" borderId="19" xfId="0" applyNumberFormat="1" applyFont="1" applyBorder="1" applyAlignment="1"/>
    <xf numFmtId="42" fontId="24" fillId="0" borderId="0" xfId="0" applyNumberFormat="1" applyFont="1" applyFill="1" applyAlignment="1">
      <alignment horizontal="right"/>
    </xf>
    <xf numFmtId="10" fontId="24" fillId="0" borderId="19" xfId="0" applyNumberFormat="1" applyFont="1" applyFill="1" applyBorder="1" applyAlignment="1"/>
    <xf numFmtId="171" fontId="24" fillId="0" borderId="0" xfId="0" applyNumberFormat="1" applyFont="1" applyFill="1" applyAlignment="1"/>
    <xf numFmtId="10" fontId="24" fillId="0" borderId="0" xfId="0" applyNumberFormat="1" applyFont="1" applyFill="1" applyAlignment="1"/>
    <xf numFmtId="10" fontId="24" fillId="0" borderId="20" xfId="0" applyNumberFormat="1" applyFont="1" applyFill="1" applyBorder="1" applyAlignment="1"/>
    <xf numFmtId="174" fontId="24" fillId="0" borderId="0" xfId="0" applyNumberFormat="1" applyFont="1" applyFill="1" applyAlignment="1"/>
    <xf numFmtId="10" fontId="24" fillId="0" borderId="0" xfId="2837" applyNumberFormat="1" applyFont="1" applyFill="1" applyAlignment="1" applyProtection="1">
      <protection locked="0"/>
    </xf>
    <xf numFmtId="174" fontId="24" fillId="0" borderId="0" xfId="0" applyNumberFormat="1" applyFont="1" applyFill="1" applyAlignment="1" applyProtection="1">
      <protection locked="0"/>
    </xf>
    <xf numFmtId="37" fontId="24" fillId="0" borderId="0" xfId="2464" applyNumberFormat="1" applyFont="1" applyAlignment="1"/>
    <xf numFmtId="0" fontId="24" fillId="0" borderId="0" xfId="0" applyNumberFormat="1" applyFont="1" applyFill="1" applyBorder="1" applyAlignment="1">
      <alignment horizontal="center"/>
    </xf>
    <xf numFmtId="42" fontId="24" fillId="0" borderId="0" xfId="0" applyNumberFormat="1" applyFont="1" applyFill="1" applyBorder="1" applyAlignment="1" applyProtection="1">
      <alignment horizontal="right"/>
      <protection locked="0"/>
    </xf>
    <xf numFmtId="42" fontId="24" fillId="0" borderId="39" xfId="0" applyNumberFormat="1" applyFont="1" applyBorder="1" applyAlignment="1"/>
    <xf numFmtId="41" fontId="24" fillId="0" borderId="39" xfId="0" applyNumberFormat="1" applyFont="1" applyBorder="1" applyAlignment="1"/>
    <xf numFmtId="41" fontId="24" fillId="0" borderId="40" xfId="0" applyNumberFormat="1" applyFont="1" applyBorder="1" applyAlignment="1"/>
    <xf numFmtId="42" fontId="24" fillId="0" borderId="63" xfId="0" applyNumberFormat="1" applyFont="1" applyBorder="1" applyAlignment="1"/>
    <xf numFmtId="42" fontId="24" fillId="0" borderId="40" xfId="0" applyNumberFormat="1" applyFont="1" applyBorder="1" applyAlignment="1"/>
    <xf numFmtId="42" fontId="8" fillId="0" borderId="0" xfId="0" applyNumberFormat="1" applyFont="1" applyFill="1" applyAlignment="1">
      <alignment horizontal="center"/>
    </xf>
    <xf numFmtId="42" fontId="146" fillId="0" borderId="20" xfId="2535" applyNumberFormat="1" applyFont="1" applyFill="1" applyBorder="1" applyAlignment="1" applyProtection="1">
      <protection locked="0"/>
    </xf>
    <xf numFmtId="0" fontId="0" fillId="0" borderId="19" xfId="0" applyNumberFormat="1" applyBorder="1" applyAlignment="1"/>
    <xf numFmtId="42" fontId="24" fillId="0" borderId="0" xfId="2535" applyNumberFormat="1" applyFont="1" applyFill="1" applyBorder="1" applyAlignment="1" applyProtection="1">
      <protection locked="0"/>
    </xf>
    <xf numFmtId="4" fontId="24" fillId="0" borderId="0" xfId="2464" applyFont="1" applyFill="1" applyAlignment="1"/>
    <xf numFmtId="0" fontId="24" fillId="0" borderId="0" xfId="0" quotePrefix="1" applyNumberFormat="1" applyFont="1" applyFill="1" applyAlignment="1">
      <alignment horizontal="right"/>
    </xf>
    <xf numFmtId="42" fontId="24" fillId="0" borderId="68" xfId="2535" applyNumberFormat="1" applyFont="1" applyFill="1" applyBorder="1" applyAlignment="1" applyProtection="1">
      <protection locked="0"/>
    </xf>
    <xf numFmtId="0" fontId="7" fillId="0" borderId="74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14" fontId="8" fillId="0" borderId="66" xfId="0" applyNumberFormat="1" applyFont="1" applyFill="1" applyBorder="1" applyAlignment="1">
      <alignment horizontal="centerContinuous"/>
    </xf>
    <xf numFmtId="14" fontId="8" fillId="0" borderId="70" xfId="0" applyNumberFormat="1" applyFont="1" applyFill="1" applyBorder="1" applyAlignment="1">
      <alignment horizontal="centerContinuous"/>
    </xf>
    <xf numFmtId="42" fontId="24" fillId="0" borderId="49" xfId="0" applyNumberFormat="1" applyFont="1" applyBorder="1" applyAlignment="1"/>
    <xf numFmtId="41" fontId="7" fillId="0" borderId="49" xfId="0" applyNumberFormat="1" applyFont="1" applyBorder="1" applyAlignment="1"/>
    <xf numFmtId="41" fontId="24" fillId="0" borderId="49" xfId="0" applyNumberFormat="1" applyFont="1" applyBorder="1" applyAlignment="1"/>
    <xf numFmtId="41" fontId="7" fillId="0" borderId="50" xfId="0" applyNumberFormat="1" applyFont="1" applyBorder="1" applyAlignment="1"/>
    <xf numFmtId="41" fontId="24" fillId="0" borderId="50" xfId="0" applyNumberFormat="1" applyFont="1" applyBorder="1" applyAlignment="1"/>
    <xf numFmtId="42" fontId="24" fillId="0" borderId="74" xfId="0" applyNumberFormat="1" applyFont="1" applyBorder="1" applyAlignment="1"/>
    <xf numFmtId="42" fontId="7" fillId="0" borderId="49" xfId="0" applyNumberFormat="1" applyFont="1" applyBorder="1" applyAlignment="1"/>
    <xf numFmtId="10" fontId="24" fillId="0" borderId="49" xfId="0" applyNumberFormat="1" applyFont="1" applyBorder="1" applyAlignment="1"/>
    <xf numFmtId="42" fontId="24" fillId="0" borderId="50" xfId="0" applyNumberFormat="1" applyFont="1" applyBorder="1" applyAlignment="1"/>
    <xf numFmtId="201" fontId="7" fillId="0" borderId="49" xfId="0" applyNumberFormat="1" applyFont="1" applyBorder="1" applyAlignment="1"/>
    <xf numFmtId="182" fontId="24" fillId="0" borderId="49" xfId="0" applyNumberFormat="1" applyFont="1" applyBorder="1" applyAlignment="1"/>
    <xf numFmtId="201" fontId="24" fillId="0" borderId="49" xfId="0" applyNumberFormat="1" applyFont="1" applyBorder="1" applyAlignment="1"/>
    <xf numFmtId="201" fontId="24" fillId="0" borderId="50" xfId="0" applyNumberFormat="1" applyFont="1" applyBorder="1" applyAlignment="1"/>
    <xf numFmtId="182" fontId="24" fillId="0" borderId="74" xfId="0" applyNumberFormat="1" applyFont="1" applyBorder="1" applyAlignment="1"/>
    <xf numFmtId="201" fontId="7" fillId="0" borderId="50" xfId="0" applyNumberFormat="1" applyFont="1" applyBorder="1" applyAlignment="1"/>
    <xf numFmtId="42" fontId="7" fillId="0" borderId="74" xfId="0" applyNumberFormat="1" applyFont="1" applyBorder="1" applyAlignment="1"/>
    <xf numFmtId="10" fontId="7" fillId="0" borderId="49" xfId="0" applyNumberFormat="1" applyFont="1" applyBorder="1" applyAlignment="1"/>
    <xf numFmtId="42" fontId="7" fillId="0" borderId="50" xfId="0" applyNumberFormat="1" applyFont="1" applyBorder="1" applyAlignment="1"/>
    <xf numFmtId="182" fontId="7" fillId="0" borderId="49" xfId="0" applyNumberFormat="1" applyFont="1" applyBorder="1" applyAlignment="1"/>
    <xf numFmtId="182" fontId="7" fillId="0" borderId="74" xfId="0" applyNumberFormat="1" applyFont="1" applyBorder="1" applyAlignment="1"/>
    <xf numFmtId="41" fontId="8" fillId="0" borderId="38" xfId="0" applyNumberFormat="1" applyFont="1" applyBorder="1" applyAlignment="1"/>
    <xf numFmtId="0" fontId="0" fillId="0" borderId="0" xfId="0" applyNumberFormat="1" applyFill="1" applyAlignment="1"/>
    <xf numFmtId="38" fontId="0" fillId="0" borderId="37" xfId="2464" applyNumberFormat="1" applyFont="1" applyFill="1" applyBorder="1" applyAlignment="1"/>
    <xf numFmtId="38" fontId="0" fillId="0" borderId="0" xfId="2464" applyNumberFormat="1" applyFont="1" applyFill="1" applyBorder="1" applyAlignment="1"/>
    <xf numFmtId="0" fontId="61" fillId="0" borderId="19" xfId="0" applyNumberFormat="1" applyFont="1" applyBorder="1" applyAlignment="1">
      <alignment horizontal="centerContinuous"/>
    </xf>
    <xf numFmtId="205" fontId="61" fillId="0" borderId="19" xfId="0" applyNumberFormat="1" applyFont="1" applyBorder="1" applyAlignment="1"/>
    <xf numFmtId="175" fontId="7" fillId="0" borderId="83" xfId="2535" applyNumberFormat="1" applyFont="1" applyFill="1" applyBorder="1"/>
    <xf numFmtId="0" fontId="24" fillId="0" borderId="0" xfId="2791" applyFont="1" applyAlignment="1">
      <alignment horizontal="centerContinuous"/>
    </xf>
    <xf numFmtId="41" fontId="61" fillId="97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/>
    <xf numFmtId="0" fontId="11" fillId="0" borderId="0" xfId="0" applyNumberFormat="1" applyFont="1" applyAlignment="1"/>
    <xf numFmtId="0" fontId="8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41" fontId="14" fillId="0" borderId="0" xfId="2535" applyNumberFormat="1" applyFont="1" applyFill="1" applyAlignment="1" applyProtection="1">
      <protection locked="0"/>
    </xf>
    <xf numFmtId="41" fontId="146" fillId="0" borderId="0" xfId="2535" applyNumberFormat="1" applyFont="1" applyFill="1" applyAlignment="1" applyProtection="1">
      <protection locked="0"/>
    </xf>
    <xf numFmtId="0" fontId="0" fillId="0" borderId="0" xfId="0" applyNumberFormat="1" applyFill="1" applyAlignment="1">
      <alignment horizontal="centerContinuous"/>
    </xf>
    <xf numFmtId="188" fontId="7" fillId="0" borderId="0" xfId="0" applyNumberFormat="1" applyFont="1" applyBorder="1" applyAlignment="1">
      <alignment horizontal="center" vertical="center" wrapText="1"/>
    </xf>
    <xf numFmtId="10" fontId="24" fillId="0" borderId="19" xfId="2837" applyNumberFormat="1" applyFont="1" applyFill="1" applyBorder="1"/>
    <xf numFmtId="175" fontId="24" fillId="0" borderId="0" xfId="0" applyNumberFormat="1" applyFont="1" applyAlignment="1"/>
    <xf numFmtId="174" fontId="24" fillId="0" borderId="0" xfId="0" applyNumberFormat="1" applyFont="1" applyAlignment="1"/>
    <xf numFmtId="41" fontId="24" fillId="0" borderId="0" xfId="3041" applyNumberFormat="1" applyFont="1"/>
    <xf numFmtId="42" fontId="24" fillId="0" borderId="68" xfId="3042" applyNumberFormat="1" applyFont="1" applyBorder="1"/>
    <xf numFmtId="174" fontId="24" fillId="0" borderId="19" xfId="0" applyNumberFormat="1" applyFont="1" applyBorder="1" applyAlignment="1"/>
    <xf numFmtId="0" fontId="61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right"/>
    </xf>
    <xf numFmtId="3" fontId="38" fillId="0" borderId="0" xfId="2464" applyNumberFormat="1" applyFont="1"/>
    <xf numFmtId="3" fontId="13" fillId="0" borderId="86" xfId="2464" applyNumberFormat="1" applyFont="1" applyBorder="1" applyAlignment="1"/>
    <xf numFmtId="37" fontId="13" fillId="0" borderId="86" xfId="2464" applyNumberFormat="1" applyFont="1" applyBorder="1" applyAlignment="1"/>
    <xf numFmtId="0" fontId="0" fillId="0" borderId="37" xfId="0" applyNumberFormat="1" applyBorder="1" applyAlignment="1"/>
    <xf numFmtId="0" fontId="0" fillId="0" borderId="0" xfId="0" applyNumberFormat="1" applyBorder="1" applyAlignment="1"/>
    <xf numFmtId="0" fontId="0" fillId="0" borderId="39" xfId="0" applyNumberFormat="1" applyBorder="1" applyAlignment="1"/>
    <xf numFmtId="3" fontId="0" fillId="0" borderId="37" xfId="2464" applyNumberFormat="1" applyFont="1" applyBorder="1" applyAlignment="1"/>
    <xf numFmtId="3" fontId="0" fillId="0" borderId="0" xfId="2464" applyNumberFormat="1" applyFont="1" applyBorder="1" applyAlignment="1"/>
    <xf numFmtId="3" fontId="0" fillId="0" borderId="39" xfId="2464" applyNumberFormat="1" applyFont="1" applyBorder="1" applyAlignment="1"/>
    <xf numFmtId="3" fontId="0" fillId="0" borderId="38" xfId="2464" applyNumberFormat="1" applyFont="1" applyBorder="1" applyAlignment="1"/>
    <xf numFmtId="3" fontId="0" fillId="0" borderId="19" xfId="2464" applyNumberFormat="1" applyFont="1" applyBorder="1" applyAlignment="1"/>
    <xf numFmtId="3" fontId="0" fillId="0" borderId="40" xfId="2464" applyNumberFormat="1" applyFont="1" applyBorder="1" applyAlignment="1"/>
    <xf numFmtId="0" fontId="6" fillId="0" borderId="87" xfId="0" applyNumberFormat="1" applyFont="1" applyBorder="1" applyAlignment="1">
      <alignment horizontal="center"/>
    </xf>
    <xf numFmtId="0" fontId="6" fillId="0" borderId="18" xfId="0" applyNumberFormat="1" applyFont="1" applyBorder="1" applyAlignment="1"/>
    <xf numFmtId="0" fontId="6" fillId="0" borderId="18" xfId="0" applyNumberFormat="1" applyFont="1" applyBorder="1" applyAlignment="1">
      <alignment horizontal="center"/>
    </xf>
    <xf numFmtId="0" fontId="6" fillId="0" borderId="88" xfId="0" applyNumberFormat="1" applyFont="1" applyBorder="1" applyAlignment="1">
      <alignment horizontal="center"/>
    </xf>
    <xf numFmtId="3" fontId="0" fillId="0" borderId="89" xfId="2464" applyNumberFormat="1" applyFont="1" applyBorder="1" applyAlignment="1"/>
    <xf numFmtId="3" fontId="0" fillId="0" borderId="41" xfId="2464" applyNumberFormat="1" applyFont="1" applyBorder="1" applyAlignment="1"/>
    <xf numFmtId="3" fontId="0" fillId="0" borderId="90" xfId="2464" applyNumberFormat="1" applyFont="1" applyBorder="1" applyAlignment="1"/>
    <xf numFmtId="165" fontId="0" fillId="0" borderId="39" xfId="2837" applyNumberFormat="1" applyFont="1" applyBorder="1" applyAlignment="1"/>
    <xf numFmtId="165" fontId="0" fillId="0" borderId="89" xfId="2837" applyNumberFormat="1" applyFont="1" applyBorder="1" applyAlignment="1"/>
    <xf numFmtId="165" fontId="0" fillId="0" borderId="41" xfId="2837" applyNumberFormat="1" applyFont="1" applyBorder="1" applyAlignment="1"/>
    <xf numFmtId="165" fontId="0" fillId="0" borderId="90" xfId="2837" applyNumberFormat="1" applyFont="1" applyBorder="1" applyAlignment="1"/>
    <xf numFmtId="3" fontId="0" fillId="0" borderId="82" xfId="2464" applyNumberFormat="1" applyFont="1" applyBorder="1" applyAlignment="1"/>
    <xf numFmtId="0" fontId="0" fillId="0" borderId="0" xfId="0" applyNumberFormat="1" applyAlignment="1">
      <alignment horizontal="center"/>
    </xf>
    <xf numFmtId="3" fontId="0" fillId="0" borderId="19" xfId="2464" applyNumberFormat="1" applyFont="1" applyFill="1" applyBorder="1" applyAlignment="1"/>
    <xf numFmtId="38" fontId="0" fillId="0" borderId="0" xfId="2464" applyNumberFormat="1" applyFont="1" applyAlignment="1"/>
    <xf numFmtId="3" fontId="0" fillId="97" borderId="0" xfId="2464" applyNumberFormat="1" applyFont="1" applyFill="1" applyBorder="1" applyAlignment="1"/>
    <xf numFmtId="3" fontId="0" fillId="97" borderId="37" xfId="2464" applyNumberFormat="1" applyFont="1" applyFill="1" applyBorder="1" applyAlignment="1"/>
    <xf numFmtId="165" fontId="0" fillId="0" borderId="37" xfId="2837" applyNumberFormat="1" applyFont="1" applyFill="1" applyBorder="1" applyAlignment="1"/>
    <xf numFmtId="165" fontId="0" fillId="0" borderId="0" xfId="2837" applyNumberFormat="1" applyFont="1" applyFill="1" applyBorder="1" applyAlignment="1"/>
    <xf numFmtId="3" fontId="0" fillId="0" borderId="37" xfId="2464" applyNumberFormat="1" applyFont="1" applyFill="1" applyBorder="1" applyAlignment="1"/>
    <xf numFmtId="3" fontId="0" fillId="0" borderId="0" xfId="2464" applyNumberFormat="1" applyFont="1" applyFill="1" applyBorder="1" applyAlignment="1"/>
    <xf numFmtId="3" fontId="0" fillId="0" borderId="81" xfId="2464" applyNumberFormat="1" applyFont="1" applyFill="1" applyBorder="1" applyAlignment="1"/>
    <xf numFmtId="3" fontId="0" fillId="0" borderId="86" xfId="2464" applyNumberFormat="1" applyFont="1" applyFill="1" applyBorder="1" applyAlignment="1"/>
    <xf numFmtId="3" fontId="0" fillId="0" borderId="89" xfId="2464" applyNumberFormat="1" applyFont="1" applyFill="1" applyBorder="1" applyAlignment="1"/>
    <xf numFmtId="3" fontId="0" fillId="0" borderId="41" xfId="2464" applyNumberFormat="1" applyFont="1" applyFill="1" applyBorder="1" applyAlignment="1"/>
    <xf numFmtId="0" fontId="0" fillId="0" borderId="0" xfId="0" applyNumberFormat="1" applyFill="1" applyAlignment="1"/>
    <xf numFmtId="174" fontId="13" fillId="0" borderId="0" xfId="2465" applyNumberFormat="1" applyFont="1" applyFill="1" applyBorder="1" applyAlignment="1">
      <alignment vertical="center"/>
    </xf>
    <xf numFmtId="0" fontId="0" fillId="0" borderId="0" xfId="0" applyNumberFormat="1" applyFill="1" applyBorder="1" applyAlignment="1"/>
    <xf numFmtId="174" fontId="13" fillId="0" borderId="0" xfId="2464" applyNumberFormat="1" applyFont="1" applyFill="1" applyBorder="1" applyAlignment="1">
      <alignment vertical="center"/>
    </xf>
    <xf numFmtId="174" fontId="0" fillId="0" borderId="0" xfId="0" applyNumberFormat="1" applyFill="1" applyAlignment="1">
      <alignment wrapText="1"/>
    </xf>
    <xf numFmtId="174" fontId="13" fillId="0" borderId="50" xfId="2465" applyNumberFormat="1" applyFont="1" applyFill="1" applyBorder="1"/>
    <xf numFmtId="175" fontId="77" fillId="97" borderId="50" xfId="2537" applyNumberFormat="1" applyFont="1" applyFill="1" applyBorder="1"/>
    <xf numFmtId="183" fontId="29" fillId="0" borderId="0" xfId="2802" applyFont="1" applyFill="1" applyAlignment="1"/>
    <xf numFmtId="3" fontId="13" fillId="0" borderId="0" xfId="2464" applyNumberFormat="1" applyFont="1" applyFill="1" applyAlignment="1"/>
    <xf numFmtId="169" fontId="13" fillId="0" borderId="0" xfId="2802" applyNumberFormat="1" applyFill="1" applyAlignment="1"/>
    <xf numFmtId="196" fontId="13" fillId="0" borderId="0" xfId="2802" applyNumberFormat="1" applyFill="1" applyAlignment="1"/>
    <xf numFmtId="41" fontId="61" fillId="98" borderId="0" xfId="0" applyNumberFormat="1" applyFont="1" applyFill="1" applyAlignment="1"/>
    <xf numFmtId="194" fontId="13" fillId="0" borderId="0" xfId="0" applyNumberFormat="1" applyFont="1" applyAlignment="1"/>
    <xf numFmtId="6" fontId="13" fillId="0" borderId="15" xfId="2515" applyNumberFormat="1" applyFont="1" applyBorder="1" applyAlignment="1">
      <alignment vertical="top" wrapText="1"/>
    </xf>
    <xf numFmtId="0" fontId="13" fillId="0" borderId="0" xfId="0" applyNumberFormat="1" applyFont="1" applyAlignment="1"/>
    <xf numFmtId="0" fontId="0" fillId="0" borderId="0" xfId="0" applyNumberFormat="1" applyFont="1" applyAlignment="1"/>
    <xf numFmtId="174" fontId="7" fillId="0" borderId="19" xfId="0" applyNumberFormat="1" applyFont="1" applyFill="1" applyBorder="1" applyAlignment="1" applyProtection="1">
      <protection locked="0"/>
    </xf>
    <xf numFmtId="3" fontId="7" fillId="0" borderId="0" xfId="2464" applyNumberFormat="1" applyFont="1" applyFill="1" applyAlignment="1" applyProtection="1">
      <protection locked="0"/>
    </xf>
    <xf numFmtId="174" fontId="24" fillId="0" borderId="19" xfId="0" applyNumberFormat="1" applyFont="1" applyFill="1" applyBorder="1" applyAlignment="1"/>
    <xf numFmtId="174" fontId="7" fillId="0" borderId="83" xfId="0" applyNumberFormat="1" applyFont="1" applyFill="1" applyBorder="1" applyAlignment="1" applyProtection="1">
      <protection locked="0"/>
    </xf>
    <xf numFmtId="174" fontId="24" fillId="0" borderId="83" xfId="0" applyNumberFormat="1" applyFont="1" applyFill="1" applyBorder="1" applyAlignment="1" applyProtection="1">
      <protection locked="0"/>
    </xf>
    <xf numFmtId="42" fontId="7" fillId="0" borderId="83" xfId="0" applyNumberFormat="1" applyFont="1" applyFill="1" applyBorder="1" applyAlignment="1"/>
    <xf numFmtId="42" fontId="8" fillId="0" borderId="83" xfId="0" applyNumberFormat="1" applyFont="1" applyFill="1" applyBorder="1" applyAlignment="1"/>
    <xf numFmtId="42" fontId="24" fillId="0" borderId="83" xfId="0" applyNumberFormat="1" applyFont="1" applyFill="1" applyBorder="1" applyAlignment="1"/>
    <xf numFmtId="42" fontId="7" fillId="0" borderId="96" xfId="0" applyNumberFormat="1" applyFont="1" applyFill="1" applyBorder="1" applyAlignment="1" applyProtection="1">
      <protection locked="0"/>
    </xf>
    <xf numFmtId="42" fontId="24" fillId="0" borderId="96" xfId="0" applyNumberFormat="1" applyFont="1" applyFill="1" applyBorder="1" applyAlignment="1" applyProtection="1">
      <protection locked="0"/>
    </xf>
    <xf numFmtId="37" fontId="24" fillId="0" borderId="96" xfId="2464" applyNumberFormat="1" applyFont="1" applyBorder="1" applyAlignment="1"/>
    <xf numFmtId="41" fontId="7" fillId="0" borderId="83" xfId="0" applyNumberFormat="1" applyFont="1" applyFill="1" applyBorder="1" applyAlignment="1" applyProtection="1">
      <protection locked="0"/>
    </xf>
    <xf numFmtId="171" fontId="7" fillId="0" borderId="83" xfId="0" applyNumberFormat="1" applyFont="1" applyFill="1" applyBorder="1" applyAlignment="1" applyProtection="1">
      <alignment horizontal="right"/>
      <protection locked="0"/>
    </xf>
    <xf numFmtId="0" fontId="7" fillId="0" borderId="83" xfId="0" applyNumberFormat="1" applyFont="1" applyFill="1" applyBorder="1" applyAlignment="1" applyProtection="1">
      <alignment horizontal="left"/>
      <protection locked="0"/>
    </xf>
    <xf numFmtId="175" fontId="146" fillId="0" borderId="0" xfId="0" applyNumberFormat="1" applyFont="1" applyFill="1" applyBorder="1" applyAlignment="1"/>
    <xf numFmtId="37" fontId="7" fillId="0" borderId="83" xfId="0" applyNumberFormat="1" applyFont="1" applyFill="1" applyBorder="1" applyAlignment="1"/>
    <xf numFmtId="0" fontId="7" fillId="0" borderId="83" xfId="0" applyNumberFormat="1" applyFont="1" applyFill="1" applyBorder="1" applyAlignment="1"/>
    <xf numFmtId="41" fontId="7" fillId="0" borderId="83" xfId="0" applyNumberFormat="1" applyFont="1" applyFill="1" applyBorder="1" applyAlignment="1"/>
    <xf numFmtId="42" fontId="7" fillId="0" borderId="96" xfId="2796" applyNumberFormat="1" applyFont="1" applyFill="1" applyBorder="1"/>
    <xf numFmtId="0" fontId="0" fillId="0" borderId="0" xfId="0" applyNumberFormat="1" applyFont="1" applyFill="1" applyAlignment="1"/>
    <xf numFmtId="3" fontId="7" fillId="0" borderId="83" xfId="2464" applyNumberFormat="1" applyFont="1" applyFill="1" applyBorder="1" applyAlignment="1"/>
    <xf numFmtId="42" fontId="7" fillId="0" borderId="83" xfId="2464" applyNumberFormat="1" applyFont="1" applyFill="1" applyBorder="1"/>
    <xf numFmtId="42" fontId="24" fillId="0" borderId="96" xfId="0" applyNumberFormat="1" applyFont="1" applyFill="1" applyBorder="1" applyAlignment="1"/>
    <xf numFmtId="42" fontId="7" fillId="0" borderId="96" xfId="0" applyNumberFormat="1" applyFont="1" applyFill="1" applyBorder="1" applyAlignment="1"/>
    <xf numFmtId="41" fontId="7" fillId="0" borderId="83" xfId="0" applyNumberFormat="1" applyFont="1" applyFill="1" applyBorder="1" applyAlignment="1" applyProtection="1">
      <alignment horizontal="right"/>
      <protection locked="0"/>
    </xf>
    <xf numFmtId="42" fontId="14" fillId="0" borderId="83" xfId="2535" applyNumberFormat="1" applyFont="1" applyFill="1" applyBorder="1" applyAlignment="1" applyProtection="1">
      <protection locked="0"/>
    </xf>
    <xf numFmtId="41" fontId="7" fillId="0" borderId="83" xfId="2464" applyNumberFormat="1" applyFont="1" applyFill="1" applyBorder="1"/>
    <xf numFmtId="42" fontId="7" fillId="0" borderId="83" xfId="0" applyNumberFormat="1" applyFont="1" applyFill="1" applyBorder="1" applyAlignment="1">
      <alignment horizontal="right"/>
    </xf>
    <xf numFmtId="174" fontId="7" fillId="0" borderId="83" xfId="2464" applyNumberFormat="1" applyFont="1" applyFill="1" applyBorder="1"/>
    <xf numFmtId="42" fontId="7" fillId="0" borderId="83" xfId="2483" applyNumberFormat="1" applyFont="1" applyFill="1" applyBorder="1"/>
    <xf numFmtId="175" fontId="7" fillId="0" borderId="96" xfId="0" applyNumberFormat="1" applyFont="1" applyFill="1" applyBorder="1" applyAlignment="1"/>
    <xf numFmtId="174" fontId="24" fillId="0" borderId="0" xfId="2464" applyNumberFormat="1" applyFont="1" applyFill="1" applyBorder="1"/>
    <xf numFmtId="37" fontId="7" fillId="0" borderId="0" xfId="2733" applyNumberFormat="1" applyFont="1" applyFill="1" applyBorder="1" applyAlignment="1">
      <alignment horizontal="right"/>
    </xf>
    <xf numFmtId="42" fontId="7" fillId="0" borderId="96" xfId="0" applyNumberFormat="1" applyFont="1" applyBorder="1" applyAlignment="1"/>
    <xf numFmtId="42" fontId="24" fillId="0" borderId="96" xfId="0" applyNumberFormat="1" applyFont="1" applyBorder="1" applyAlignment="1"/>
    <xf numFmtId="41" fontId="7" fillId="0" borderId="83" xfId="2535" applyNumberFormat="1" applyFont="1" applyFill="1" applyBorder="1" applyAlignment="1" applyProtection="1">
      <protection locked="0"/>
    </xf>
    <xf numFmtId="41" fontId="24" fillId="0" borderId="83" xfId="2535" applyNumberFormat="1" applyFont="1" applyFill="1" applyBorder="1" applyAlignment="1" applyProtection="1">
      <protection locked="0"/>
    </xf>
    <xf numFmtId="183" fontId="7" fillId="0" borderId="0" xfId="3231" applyNumberFormat="1" applyFont="1" applyFill="1" applyAlignment="1">
      <alignment horizontal="left"/>
    </xf>
    <xf numFmtId="183" fontId="7" fillId="0" borderId="0" xfId="3231" quotePrefix="1" applyNumberFormat="1" applyFont="1" applyFill="1" applyAlignment="1">
      <alignment horizontal="left"/>
    </xf>
    <xf numFmtId="42" fontId="7" fillId="0" borderId="83" xfId="2796" applyNumberFormat="1" applyFont="1" applyFill="1" applyBorder="1"/>
    <xf numFmtId="41" fontId="7" fillId="0" borderId="0" xfId="3231" applyNumberFormat="1" applyFont="1" applyFill="1" applyBorder="1" applyAlignment="1" applyProtection="1">
      <protection locked="0"/>
    </xf>
    <xf numFmtId="175" fontId="7" fillId="0" borderId="0" xfId="3231" applyNumberFormat="1" applyFont="1" applyFill="1" applyBorder="1" applyAlignment="1"/>
    <xf numFmtId="174" fontId="24" fillId="0" borderId="19" xfId="2464" applyNumberFormat="1" applyFont="1" applyFill="1" applyBorder="1"/>
    <xf numFmtId="175" fontId="24" fillId="0" borderId="0" xfId="2535" applyNumberFormat="1" applyFont="1" applyFill="1" applyBorder="1"/>
    <xf numFmtId="41" fontId="24" fillId="0" borderId="83" xfId="0" applyNumberFormat="1" applyFont="1" applyFill="1" applyBorder="1" applyAlignment="1"/>
    <xf numFmtId="175" fontId="24" fillId="0" borderId="96" xfId="0" applyNumberFormat="1" applyFont="1" applyFill="1" applyBorder="1" applyAlignment="1"/>
    <xf numFmtId="41" fontId="24" fillId="0" borderId="86" xfId="0" applyNumberFormat="1" applyFont="1" applyBorder="1" applyAlignment="1"/>
    <xf numFmtId="175" fontId="24" fillId="0" borderId="83" xfId="2535" applyNumberFormat="1" applyFont="1" applyFill="1" applyBorder="1"/>
    <xf numFmtId="37" fontId="24" fillId="0" borderId="19" xfId="2464" applyNumberFormat="1" applyFont="1" applyBorder="1"/>
    <xf numFmtId="175" fontId="24" fillId="0" borderId="41" xfId="2535" applyNumberFormat="1" applyFont="1" applyFill="1" applyBorder="1"/>
    <xf numFmtId="42" fontId="24" fillId="0" borderId="83" xfId="0" applyNumberFormat="1" applyFont="1" applyBorder="1" applyAlignment="1"/>
    <xf numFmtId="178" fontId="7" fillId="0" borderId="83" xfId="0" applyNumberFormat="1" applyFont="1" applyFill="1" applyBorder="1" applyAlignment="1"/>
    <xf numFmtId="41" fontId="24" fillId="0" borderId="0" xfId="0" applyNumberFormat="1" applyFont="1" applyBorder="1" applyAlignment="1"/>
    <xf numFmtId="0" fontId="7" fillId="0" borderId="0" xfId="2797" applyFont="1" applyFill="1" applyAlignment="1" applyProtection="1">
      <protection locked="0"/>
    </xf>
    <xf numFmtId="174" fontId="24" fillId="0" borderId="83" xfId="2508" applyNumberFormat="1" applyFont="1" applyFill="1" applyBorder="1"/>
    <xf numFmtId="174" fontId="7" fillId="0" borderId="83" xfId="2508" applyNumberFormat="1" applyFont="1" applyFill="1" applyBorder="1"/>
    <xf numFmtId="174" fontId="7" fillId="0" borderId="83" xfId="2508" applyNumberFormat="1" applyFont="1" applyBorder="1"/>
    <xf numFmtId="174" fontId="24" fillId="0" borderId="83" xfId="2508" applyNumberFormat="1" applyFont="1" applyBorder="1"/>
    <xf numFmtId="174" fontId="24" fillId="0" borderId="86" xfId="2791" applyNumberFormat="1" applyFont="1" applyFill="1" applyBorder="1"/>
    <xf numFmtId="174" fontId="7" fillId="0" borderId="86" xfId="2791" applyNumberFormat="1" applyFont="1" applyFill="1" applyBorder="1"/>
    <xf numFmtId="174" fontId="7" fillId="0" borderId="86" xfId="2791" applyNumberFormat="1" applyFont="1" applyBorder="1"/>
    <xf numFmtId="174" fontId="24" fillId="0" borderId="86" xfId="2791" applyNumberFormat="1" applyFont="1" applyBorder="1"/>
    <xf numFmtId="0" fontId="7" fillId="0" borderId="83" xfId="2791" applyFont="1" applyBorder="1"/>
    <xf numFmtId="10" fontId="7" fillId="0" borderId="19" xfId="2837" applyNumberFormat="1" applyFont="1" applyFill="1" applyBorder="1" applyAlignment="1">
      <alignment horizontal="right"/>
    </xf>
    <xf numFmtId="183" fontId="7" fillId="0" borderId="0" xfId="0" applyFont="1" applyFill="1" applyAlignment="1">
      <alignment horizontal="centerContinuous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174" fontId="13" fillId="0" borderId="0" xfId="2464" applyNumberFormat="1" applyFont="1" applyFill="1" applyAlignment="1">
      <alignment horizontal="right"/>
    </xf>
    <xf numFmtId="42" fontId="0" fillId="0" borderId="0" xfId="0" applyNumberFormat="1" applyFont="1" applyFill="1" applyAlignment="1"/>
    <xf numFmtId="0" fontId="0" fillId="0" borderId="0" xfId="0" applyNumberFormat="1" applyFont="1" applyFill="1" applyBorder="1" applyAlignment="1"/>
    <xf numFmtId="42" fontId="0" fillId="0" borderId="0" xfId="0" applyNumberFormat="1" applyFont="1" applyAlignment="1"/>
    <xf numFmtId="10" fontId="7" fillId="0" borderId="0" xfId="0" applyNumberFormat="1" applyFont="1" applyFill="1" applyBorder="1" applyAlignment="1">
      <alignment horizontal="center"/>
    </xf>
    <xf numFmtId="42" fontId="7" fillId="0" borderId="18" xfId="0" applyNumberFormat="1" applyFont="1" applyFill="1" applyBorder="1" applyAlignment="1" applyProtection="1">
      <protection locked="0"/>
    </xf>
    <xf numFmtId="37" fontId="7" fillId="0" borderId="0" xfId="2464" applyNumberFormat="1" applyFont="1" applyFill="1" applyBorder="1" applyProtection="1">
      <protection locked="0"/>
    </xf>
    <xf numFmtId="42" fontId="7" fillId="0" borderId="18" xfId="2464" applyNumberFormat="1" applyFont="1" applyFill="1" applyBorder="1"/>
    <xf numFmtId="42" fontId="24" fillId="0" borderId="34" xfId="0" applyNumberFormat="1" applyFont="1" applyFill="1" applyBorder="1" applyAlignment="1"/>
    <xf numFmtId="42" fontId="24" fillId="0" borderId="71" xfId="0" applyNumberFormat="1" applyFont="1" applyFill="1" applyBorder="1" applyAlignment="1"/>
    <xf numFmtId="42" fontId="24" fillId="0" borderId="68" xfId="0" applyNumberFormat="1" applyFont="1" applyFill="1" applyBorder="1" applyAlignment="1"/>
    <xf numFmtId="42" fontId="24" fillId="0" borderId="72" xfId="0" applyNumberFormat="1" applyFont="1" applyFill="1" applyBorder="1" applyAlignment="1"/>
    <xf numFmtId="42" fontId="7" fillId="0" borderId="96" xfId="2464" applyNumberFormat="1" applyFont="1" applyFill="1" applyBorder="1" applyAlignment="1"/>
    <xf numFmtId="0" fontId="7" fillId="0" borderId="0" xfId="4601" applyFont="1" applyFill="1"/>
    <xf numFmtId="0" fontId="7" fillId="0" borderId="0" xfId="4601" applyFont="1" applyFill="1" applyAlignment="1">
      <alignment horizontal="centerContinuous"/>
    </xf>
    <xf numFmtId="0" fontId="7" fillId="0" borderId="19" xfId="4601" applyFont="1" applyFill="1" applyBorder="1" applyAlignment="1">
      <alignment horizontal="center" wrapText="1"/>
    </xf>
    <xf numFmtId="0" fontId="7" fillId="0" borderId="19" xfId="4601" quotePrefix="1" applyFont="1" applyFill="1" applyBorder="1" applyAlignment="1">
      <alignment horizontal="center" wrapText="1"/>
    </xf>
    <xf numFmtId="0" fontId="7" fillId="0" borderId="0" xfId="4601" applyFont="1" applyFill="1" applyAlignment="1">
      <alignment horizontal="center" wrapText="1"/>
    </xf>
    <xf numFmtId="0" fontId="7" fillId="0" borderId="0" xfId="4601" applyFont="1" applyFill="1" applyAlignment="1">
      <alignment horizontal="center" vertical="top" wrapText="1"/>
    </xf>
    <xf numFmtId="0" fontId="7" fillId="0" borderId="0" xfId="4601" applyFont="1" applyFill="1" applyBorder="1" applyAlignment="1">
      <alignment horizontal="left" vertical="top" wrapText="1"/>
    </xf>
    <xf numFmtId="0" fontId="7" fillId="0" borderId="0" xfId="4601" applyFont="1" applyFill="1" applyBorder="1" applyAlignment="1">
      <alignment horizontal="center" vertical="top" wrapText="1"/>
    </xf>
    <xf numFmtId="0" fontId="7" fillId="0" borderId="0" xfId="4601" quotePrefix="1" applyFont="1" applyFill="1" applyAlignment="1">
      <alignment horizontal="center" vertical="top" wrapText="1"/>
    </xf>
    <xf numFmtId="0" fontId="7" fillId="0" borderId="0" xfId="4601" applyFont="1" applyFill="1" applyAlignment="1">
      <alignment horizontal="left"/>
    </xf>
    <xf numFmtId="0" fontId="7" fillId="0" borderId="0" xfId="4601" applyFont="1" applyFill="1" applyAlignment="1">
      <alignment horizontal="center"/>
    </xf>
    <xf numFmtId="174" fontId="7" fillId="0" borderId="86" xfId="2477" applyNumberFormat="1" applyFont="1" applyFill="1" applyBorder="1"/>
    <xf numFmtId="175" fontId="7" fillId="0" borderId="86" xfId="4442" applyNumberFormat="1" applyFont="1" applyFill="1" applyBorder="1"/>
    <xf numFmtId="10" fontId="7" fillId="0" borderId="0" xfId="2477" applyNumberFormat="1" applyFont="1" applyFill="1" applyBorder="1"/>
    <xf numFmtId="9" fontId="7" fillId="0" borderId="0" xfId="2847" applyFont="1" applyFill="1"/>
    <xf numFmtId="10" fontId="7" fillId="0" borderId="0" xfId="2847" applyNumberFormat="1" applyFont="1" applyFill="1"/>
    <xf numFmtId="174" fontId="7" fillId="0" borderId="0" xfId="2477" applyNumberFormat="1" applyFont="1" applyFill="1" applyBorder="1"/>
    <xf numFmtId="175" fontId="7" fillId="0" borderId="0" xfId="4442" applyNumberFormat="1" applyFont="1" applyFill="1" applyBorder="1"/>
    <xf numFmtId="10" fontId="7" fillId="0" borderId="0" xfId="4442" applyNumberFormat="1" applyFont="1" applyFill="1" applyBorder="1"/>
    <xf numFmtId="0" fontId="7" fillId="0" borderId="0" xfId="4601" quotePrefix="1" applyFont="1" applyFill="1" applyAlignment="1">
      <alignment horizontal="left" indent="1"/>
    </xf>
    <xf numFmtId="3" fontId="7" fillId="0" borderId="0" xfId="4442" applyNumberFormat="1" applyFont="1" applyFill="1" applyBorder="1"/>
    <xf numFmtId="0" fontId="7" fillId="0" borderId="0" xfId="4601" quotePrefix="1" applyFont="1" applyFill="1" applyAlignment="1">
      <alignment horizontal="left"/>
    </xf>
    <xf numFmtId="3" fontId="7" fillId="0" borderId="86" xfId="2477" applyNumberFormat="1" applyFont="1" applyFill="1" applyBorder="1"/>
    <xf numFmtId="3" fontId="7" fillId="0" borderId="0" xfId="2477" applyNumberFormat="1" applyFont="1" applyFill="1" applyBorder="1"/>
    <xf numFmtId="0" fontId="7" fillId="0" borderId="0" xfId="4601" applyFont="1" applyFill="1" applyAlignment="1">
      <alignment horizontal="left" indent="1"/>
    </xf>
    <xf numFmtId="3" fontId="7" fillId="0" borderId="0" xfId="2477" applyNumberFormat="1" applyFont="1" applyFill="1"/>
    <xf numFmtId="175" fontId="7" fillId="0" borderId="0" xfId="4442" applyNumberFormat="1" applyFont="1" applyFill="1"/>
    <xf numFmtId="10" fontId="7" fillId="0" borderId="0" xfId="4442" applyNumberFormat="1" applyFont="1" applyFill="1"/>
    <xf numFmtId="3" fontId="7" fillId="0" borderId="86" xfId="4442" applyNumberFormat="1" applyFont="1" applyFill="1" applyBorder="1"/>
    <xf numFmtId="175" fontId="7" fillId="41" borderId="0" xfId="4442" applyNumberFormat="1" applyFont="1" applyFill="1"/>
    <xf numFmtId="0" fontId="7" fillId="0" borderId="0" xfId="4601" applyFont="1" applyFill="1" applyBorder="1"/>
    <xf numFmtId="0" fontId="7" fillId="0" borderId="0" xfId="4601" quotePrefix="1" applyFont="1" applyFill="1" applyAlignment="1">
      <alignment horizontal="center"/>
    </xf>
    <xf numFmtId="174" fontId="7" fillId="0" borderId="0" xfId="2477" applyNumberFormat="1" applyFont="1" applyFill="1"/>
    <xf numFmtId="174" fontId="7" fillId="0" borderId="96" xfId="2477" applyNumberFormat="1" applyFont="1" applyFill="1" applyBorder="1"/>
    <xf numFmtId="175" fontId="7" fillId="0" borderId="96" xfId="4442" applyNumberFormat="1" applyFont="1" applyFill="1" applyBorder="1"/>
    <xf numFmtId="0" fontId="7" fillId="99" borderId="0" xfId="4601" applyFont="1" applyFill="1" applyAlignment="1">
      <alignment horizontal="center" wrapText="1"/>
    </xf>
    <xf numFmtId="0" fontId="7" fillId="99" borderId="0" xfId="4601" quotePrefix="1" applyFont="1" applyFill="1" applyAlignment="1">
      <alignment horizontal="left"/>
    </xf>
    <xf numFmtId="0" fontId="7" fillId="99" borderId="0" xfId="4601" quotePrefix="1" applyFont="1" applyFill="1" applyAlignment="1">
      <alignment horizontal="center"/>
    </xf>
    <xf numFmtId="3" fontId="7" fillId="99" borderId="86" xfId="4442" applyNumberFormat="1" applyFont="1" applyFill="1" applyBorder="1"/>
    <xf numFmtId="175" fontId="7" fillId="99" borderId="86" xfId="4442" applyNumberFormat="1" applyFont="1" applyFill="1" applyBorder="1"/>
    <xf numFmtId="0" fontId="7" fillId="99" borderId="0" xfId="4601" applyFont="1" applyFill="1"/>
    <xf numFmtId="10" fontId="7" fillId="99" borderId="0" xfId="2477" applyNumberFormat="1" applyFont="1" applyFill="1" applyBorder="1"/>
    <xf numFmtId="9" fontId="7" fillId="99" borderId="0" xfId="2847" applyFont="1" applyFill="1"/>
    <xf numFmtId="10" fontId="7" fillId="99" borderId="0" xfId="2847" applyNumberFormat="1" applyFont="1" applyFill="1"/>
    <xf numFmtId="175" fontId="7" fillId="41" borderId="96" xfId="4442" applyNumberFormat="1" applyFont="1" applyFill="1" applyBorder="1"/>
    <xf numFmtId="10" fontId="7" fillId="0" borderId="96" xfId="2847" applyNumberFormat="1" applyFont="1" applyFill="1" applyBorder="1"/>
    <xf numFmtId="10" fontId="7" fillId="0" borderId="0" xfId="2847" applyNumberFormat="1" applyFont="1" applyFill="1" applyBorder="1"/>
    <xf numFmtId="175" fontId="7" fillId="0" borderId="0" xfId="4601" applyNumberFormat="1" applyFont="1" applyFill="1"/>
    <xf numFmtId="0" fontId="7" fillId="0" borderId="103" xfId="4601" quotePrefix="1" applyFont="1" applyFill="1" applyBorder="1" applyAlignment="1">
      <alignment horizontal="left"/>
    </xf>
    <xf numFmtId="0" fontId="7" fillId="0" borderId="104" xfId="4601" applyFont="1" applyFill="1" applyBorder="1" applyAlignment="1">
      <alignment horizontal="center"/>
    </xf>
    <xf numFmtId="0" fontId="7" fillId="0" borderId="104" xfId="4601" applyFont="1" applyFill="1" applyBorder="1"/>
    <xf numFmtId="9" fontId="8" fillId="0" borderId="104" xfId="2847" applyFont="1" applyFill="1" applyBorder="1"/>
    <xf numFmtId="167" fontId="7" fillId="0" borderId="105" xfId="4601" applyNumberFormat="1" applyFont="1" applyFill="1" applyBorder="1"/>
    <xf numFmtId="0" fontId="7" fillId="0" borderId="106" xfId="4601" quotePrefix="1" applyFont="1" applyFill="1" applyBorder="1" applyAlignment="1">
      <alignment horizontal="left"/>
    </xf>
    <xf numFmtId="0" fontId="7" fillId="0" borderId="0" xfId="4601" applyFont="1" applyFill="1" applyBorder="1" applyAlignment="1">
      <alignment horizontal="center"/>
    </xf>
    <xf numFmtId="167" fontId="7" fillId="0" borderId="107" xfId="2847" applyNumberFormat="1" applyFont="1" applyFill="1" applyBorder="1"/>
    <xf numFmtId="0" fontId="7" fillId="0" borderId="106" xfId="4601" applyFont="1" applyFill="1" applyBorder="1" applyAlignment="1">
      <alignment horizontal="left"/>
    </xf>
    <xf numFmtId="0" fontId="7" fillId="0" borderId="107" xfId="4601" applyFont="1" applyFill="1" applyBorder="1"/>
    <xf numFmtId="0" fontId="7" fillId="0" borderId="84" xfId="4601" quotePrefix="1" applyFont="1" applyFill="1" applyBorder="1" applyAlignment="1">
      <alignment horizontal="left"/>
    </xf>
    <xf numFmtId="0" fontId="7" fillId="0" borderId="3" xfId="4601" applyFont="1" applyFill="1" applyBorder="1" applyAlignment="1">
      <alignment horizontal="center"/>
    </xf>
    <xf numFmtId="0" fontId="7" fillId="0" borderId="3" xfId="4601" applyFont="1" applyFill="1" applyBorder="1"/>
    <xf numFmtId="167" fontId="8" fillId="0" borderId="85" xfId="2847" applyNumberFormat="1" applyFont="1" applyFill="1" applyBorder="1"/>
    <xf numFmtId="0" fontId="8" fillId="0" borderId="0" xfId="4601" quotePrefix="1" applyFont="1" applyFill="1" applyAlignment="1">
      <alignment wrapText="1"/>
    </xf>
    <xf numFmtId="0" fontId="7" fillId="0" borderId="19" xfId="4601" applyFont="1" applyFill="1" applyBorder="1" applyAlignment="1">
      <alignment horizontal="center"/>
    </xf>
    <xf numFmtId="0" fontId="7" fillId="0" borderId="38" xfId="4601" applyFont="1" applyFill="1" applyBorder="1" applyAlignment="1">
      <alignment horizontal="center"/>
    </xf>
    <xf numFmtId="0" fontId="7" fillId="0" borderId="40" xfId="4601" applyFont="1" applyFill="1" applyBorder="1" applyAlignment="1">
      <alignment horizontal="center"/>
    </xf>
    <xf numFmtId="0" fontId="7" fillId="0" borderId="0" xfId="4601" applyFont="1" applyFill="1" applyBorder="1" applyAlignment="1">
      <alignment horizontal="center" wrapText="1"/>
    </xf>
    <xf numFmtId="0" fontId="7" fillId="0" borderId="0" xfId="4601" quotePrefix="1" applyFont="1" applyFill="1" applyBorder="1" applyAlignment="1">
      <alignment horizontal="center" wrapText="1"/>
    </xf>
    <xf numFmtId="209" fontId="7" fillId="0" borderId="0" xfId="4442" applyNumberFormat="1" applyFont="1" applyFill="1" applyBorder="1"/>
    <xf numFmtId="174" fontId="7" fillId="0" borderId="0" xfId="4601" applyNumberFormat="1" applyFont="1" applyFill="1" applyBorder="1"/>
    <xf numFmtId="44" fontId="7" fillId="0" borderId="0" xfId="4442" applyFont="1" applyFill="1" applyBorder="1"/>
    <xf numFmtId="174" fontId="7" fillId="0" borderId="0" xfId="2477" quotePrefix="1" applyNumberFormat="1" applyFont="1" applyFill="1" applyBorder="1" applyAlignment="1">
      <alignment horizontal="left"/>
    </xf>
    <xf numFmtId="210" fontId="7" fillId="0" borderId="0" xfId="4442" applyNumberFormat="1" applyFont="1" applyFill="1" applyBorder="1"/>
    <xf numFmtId="175" fontId="7" fillId="0" borderId="86" xfId="4601" applyNumberFormat="1" applyFont="1" applyFill="1" applyBorder="1"/>
    <xf numFmtId="175" fontId="7" fillId="99" borderId="86" xfId="4601" applyNumberFormat="1" applyFont="1" applyFill="1" applyBorder="1"/>
    <xf numFmtId="166" fontId="7" fillId="0" borderId="86" xfId="2847" applyNumberFormat="1" applyFont="1" applyFill="1" applyBorder="1"/>
    <xf numFmtId="174" fontId="7" fillId="0" borderId="0" xfId="4601" applyNumberFormat="1" applyFont="1" applyFill="1"/>
    <xf numFmtId="0" fontId="7" fillId="0" borderId="0" xfId="4496" applyFont="1" applyFill="1" applyAlignment="1">
      <alignment horizontal="center" wrapText="1"/>
    </xf>
    <xf numFmtId="0" fontId="7" fillId="0" borderId="0" xfId="4496" applyFont="1" applyFill="1" applyBorder="1" applyAlignment="1">
      <alignment horizontal="center"/>
    </xf>
    <xf numFmtId="0" fontId="7" fillId="0" borderId="0" xfId="4496" applyFont="1" applyFill="1"/>
    <xf numFmtId="0" fontId="7" fillId="0" borderId="0" xfId="4496" applyFont="1" applyFill="1" applyBorder="1"/>
    <xf numFmtId="175" fontId="7" fillId="0" borderId="86" xfId="4496" applyNumberFormat="1" applyFont="1" applyFill="1" applyBorder="1"/>
    <xf numFmtId="175" fontId="7" fillId="99" borderId="86" xfId="4496" applyNumberFormat="1" applyFont="1" applyFill="1" applyBorder="1"/>
    <xf numFmtId="0" fontId="7" fillId="99" borderId="0" xfId="4496" applyFont="1" applyFill="1"/>
    <xf numFmtId="175" fontId="7" fillId="0" borderId="0" xfId="4496" applyNumberFormat="1" applyFont="1" applyFill="1"/>
    <xf numFmtId="175" fontId="7" fillId="99" borderId="0" xfId="4496" applyNumberFormat="1" applyFont="1" applyFill="1"/>
    <xf numFmtId="166" fontId="7" fillId="0" borderId="44" xfId="2837" applyNumberFormat="1" applyFont="1" applyFill="1" applyBorder="1" applyAlignment="1" applyProtection="1">
      <alignment horizontal="center"/>
      <protection locked="0"/>
    </xf>
    <xf numFmtId="0" fontId="8" fillId="0" borderId="45" xfId="0" applyNumberFormat="1" applyFont="1" applyFill="1" applyBorder="1" applyAlignment="1"/>
    <xf numFmtId="42" fontId="61" fillId="0" borderId="88" xfId="2464" applyNumberFormat="1" applyFont="1" applyBorder="1" applyAlignment="1"/>
    <xf numFmtId="0" fontId="12" fillId="0" borderId="0" xfId="0" applyNumberFormat="1" applyFont="1" applyBorder="1" applyAlignment="1"/>
    <xf numFmtId="0" fontId="7" fillId="46" borderId="83" xfId="0" applyNumberFormat="1" applyFont="1" applyFill="1" applyBorder="1" applyAlignment="1"/>
    <xf numFmtId="0" fontId="12" fillId="0" borderId="45" xfId="0" applyNumberFormat="1" applyFont="1" applyBorder="1" applyAlignment="1"/>
    <xf numFmtId="0" fontId="61" fillId="0" borderId="0" xfId="0" applyNumberFormat="1" applyFont="1" applyAlignment="1"/>
    <xf numFmtId="0" fontId="12" fillId="0" borderId="84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85" xfId="0" applyNumberFormat="1" applyFont="1" applyBorder="1" applyAlignment="1">
      <alignment horizontal="center"/>
    </xf>
    <xf numFmtId="0" fontId="61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7" fillId="0" borderId="0" xfId="4601" applyFont="1" applyFill="1" applyAlignment="1">
      <alignment horizontal="center"/>
    </xf>
    <xf numFmtId="0" fontId="7" fillId="0" borderId="0" xfId="4601" quotePrefix="1" applyFont="1" applyFill="1" applyAlignment="1">
      <alignment horizontal="center"/>
    </xf>
    <xf numFmtId="0" fontId="7" fillId="99" borderId="81" xfId="4601" quotePrefix="1" applyFont="1" applyFill="1" applyBorder="1" applyAlignment="1">
      <alignment horizontal="center"/>
    </xf>
    <xf numFmtId="0" fontId="7" fillId="99" borderId="86" xfId="4601" applyFont="1" applyFill="1" applyBorder="1" applyAlignment="1">
      <alignment horizontal="center"/>
    </xf>
    <xf numFmtId="0" fontId="7" fillId="99" borderId="82" xfId="4601" applyFont="1" applyFill="1" applyBorder="1" applyAlignment="1">
      <alignment horizontal="center"/>
    </xf>
    <xf numFmtId="0" fontId="7" fillId="0" borderId="108" xfId="4601" quotePrefix="1" applyFont="1" applyFill="1" applyBorder="1" applyAlignment="1">
      <alignment horizontal="center"/>
    </xf>
    <xf numFmtId="0" fontId="7" fillId="0" borderId="109" xfId="4601" quotePrefix="1" applyFont="1" applyFill="1" applyBorder="1" applyAlignment="1">
      <alignment horizontal="center"/>
    </xf>
    <xf numFmtId="0" fontId="7" fillId="0" borderId="108" xfId="4601" applyFont="1" applyFill="1" applyBorder="1" applyAlignment="1">
      <alignment horizontal="center"/>
    </xf>
    <xf numFmtId="0" fontId="7" fillId="0" borderId="109" xfId="4601" applyFont="1" applyFill="1" applyBorder="1" applyAlignment="1">
      <alignment horizontal="center"/>
    </xf>
    <xf numFmtId="0" fontId="7" fillId="0" borderId="81" xfId="4601" applyFont="1" applyFill="1" applyBorder="1" applyAlignment="1">
      <alignment horizontal="center"/>
    </xf>
    <xf numFmtId="0" fontId="7" fillId="0" borderId="86" xfId="4601" applyFont="1" applyFill="1" applyBorder="1" applyAlignment="1">
      <alignment horizontal="center"/>
    </xf>
    <xf numFmtId="0" fontId="7" fillId="0" borderId="82" xfId="4601" applyFont="1" applyFill="1" applyBorder="1" applyAlignment="1">
      <alignment horizontal="center"/>
    </xf>
    <xf numFmtId="0" fontId="7" fillId="0" borderId="38" xfId="4601" applyFont="1" applyFill="1" applyBorder="1" applyAlignment="1">
      <alignment horizontal="center"/>
    </xf>
    <xf numFmtId="0" fontId="7" fillId="0" borderId="40" xfId="4601" applyFont="1" applyFill="1" applyBorder="1" applyAlignment="1">
      <alignment horizontal="center"/>
    </xf>
    <xf numFmtId="0" fontId="7" fillId="99" borderId="81" xfId="4601" applyFont="1" applyFill="1" applyBorder="1" applyAlignment="1">
      <alignment horizontal="center"/>
    </xf>
    <xf numFmtId="0" fontId="12" fillId="0" borderId="10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7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6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/>
    <xf numFmtId="10" fontId="61" fillId="0" borderId="0" xfId="0" applyNumberFormat="1" applyFont="1" applyAlignment="1"/>
    <xf numFmtId="203" fontId="61" fillId="0" borderId="0" xfId="0" applyNumberFormat="1" applyFont="1" applyAlignment="1"/>
    <xf numFmtId="203" fontId="61" fillId="0" borderId="45" xfId="0" applyNumberFormat="1" applyFont="1" applyBorder="1" applyAlignment="1"/>
    <xf numFmtId="203" fontId="61" fillId="0" borderId="0" xfId="0" applyNumberFormat="1" applyFont="1" applyAlignment="1">
      <alignment horizontal="left"/>
    </xf>
    <xf numFmtId="203" fontId="61" fillId="0" borderId="0" xfId="0" applyNumberFormat="1" applyFont="1" applyAlignment="1">
      <alignment horizontal="center"/>
    </xf>
  </cellXfs>
  <cellStyles count="7774">
    <cellStyle name="_x0013_" xfId="1"/>
    <cellStyle name=" 1" xfId="2"/>
    <cellStyle name=" 1 2" xfId="3"/>
    <cellStyle name="_x0013_ 2" xfId="4"/>
    <cellStyle name="_x0013_ 2 2" xfId="4917"/>
    <cellStyle name="_x0013_ 3" xfId="5"/>
    <cellStyle name="_x0013_ 4" xfId="3125"/>
    <cellStyle name="_x0013_ 5" xfId="3235"/>
    <cellStyle name="_x0013_ 6" xfId="3236"/>
    <cellStyle name="_x0013_ 7" xfId="3237"/>
    <cellStyle name="_x0013_ 8" xfId="3238"/>
    <cellStyle name="_x0013_ 9" xfId="3239"/>
    <cellStyle name="_09GRC Gas Transport For Review" xfId="6"/>
    <cellStyle name="_09GRC Gas Transport For Review 2" xfId="7"/>
    <cellStyle name="_09GRC Gas Transport For Review 2 2" xfId="4918"/>
    <cellStyle name="_09GRC Gas Transport For Review 3" xfId="4919"/>
    <cellStyle name="_09GRC Gas Transport For Review_Book4" xfId="8"/>
    <cellStyle name="_09GRC Gas Transport For Review_Book4 2" xfId="9"/>
    <cellStyle name="_09GRC Gas Transport For Review_Book4 2 2" xfId="4920"/>
    <cellStyle name="_09GRC Gas Transport For Review_Book4 3" xfId="4921"/>
    <cellStyle name="_x0013__16.07E Wild Horse Wind Expansionwrkingfile" xfId="10"/>
    <cellStyle name="_x0013__16.07E Wild Horse Wind Expansionwrkingfile 2" xfId="11"/>
    <cellStyle name="_x0013__16.07E Wild Horse Wind Expansionwrkingfile 2 2" xfId="4922"/>
    <cellStyle name="_x0013__16.07E Wild Horse Wind Expansionwrkingfile 3" xfId="4923"/>
    <cellStyle name="_x0013__16.07E Wild Horse Wind Expansionwrkingfile SF" xfId="12"/>
    <cellStyle name="_x0013__16.07E Wild Horse Wind Expansionwrkingfile SF 2" xfId="13"/>
    <cellStyle name="_x0013__16.07E Wild Horse Wind Expansionwrkingfile SF 2 2" xfId="4924"/>
    <cellStyle name="_x0013__16.07E Wild Horse Wind Expansionwrkingfile SF 3" xfId="4925"/>
    <cellStyle name="_x0013__16.37E Wild Horse Expansion DeferralRevwrkingfile SF" xfId="14"/>
    <cellStyle name="_x0013__16.37E Wild Horse Expansion DeferralRevwrkingfile SF 2" xfId="15"/>
    <cellStyle name="_x0013__16.37E Wild Horse Expansion DeferralRevwrkingfile SF 2 2" xfId="4926"/>
    <cellStyle name="_x0013__16.37E Wild Horse Expansion DeferralRevwrkingfile SF 3" xfId="4927"/>
    <cellStyle name="_2008 Strat Plan Power Costs Forecast V2 (2009 Update)" xfId="16"/>
    <cellStyle name="_2008 Strat Plan Power Costs Forecast V2 (2009 Update) 2" xfId="17"/>
    <cellStyle name="_2008 Strat Plan Power Costs Forecast V2 (2009 Update)_NIM Summary" xfId="18"/>
    <cellStyle name="_2008 Strat Plan Power Costs Forecast V2 (2009 Update)_NIM Summary 2" xfId="19"/>
    <cellStyle name="_4.06E Pass Throughs" xfId="20"/>
    <cellStyle name="_4.06E Pass Throughs 2" xfId="21"/>
    <cellStyle name="_4.06E Pass Throughs 2 2" xfId="22"/>
    <cellStyle name="_4.06E Pass Throughs 2 2 2" xfId="4928"/>
    <cellStyle name="_4.06E Pass Throughs 2 3" xfId="4929"/>
    <cellStyle name="_4.06E Pass Throughs 3" xfId="23"/>
    <cellStyle name="_4.06E Pass Throughs 3 2" xfId="3527"/>
    <cellStyle name="_4.06E Pass Throughs 3 2 2" xfId="4930"/>
    <cellStyle name="_4.06E Pass Throughs 3 3" xfId="3528"/>
    <cellStyle name="_4.06E Pass Throughs 3 3 2" xfId="4931"/>
    <cellStyle name="_4.06E Pass Throughs 3 4" xfId="3529"/>
    <cellStyle name="_4.06E Pass Throughs 3 4 2" xfId="4932"/>
    <cellStyle name="_4.06E Pass Throughs 4" xfId="24"/>
    <cellStyle name="_4.06E Pass Throughs 4 2" xfId="3240"/>
    <cellStyle name="_4.06E Pass Throughs 5" xfId="4933"/>
    <cellStyle name="_4.06E Pass Throughs_04 07E Wild Horse Wind Expansion (C) (2)" xfId="25"/>
    <cellStyle name="_4.06E Pass Throughs_04 07E Wild Horse Wind Expansion (C) (2) 2" xfId="26"/>
    <cellStyle name="_4.06E Pass Throughs_04 07E Wild Horse Wind Expansion (C) (2) 2 2" xfId="4934"/>
    <cellStyle name="_4.06E Pass Throughs_04 07E Wild Horse Wind Expansion (C) (2) 3" xfId="4935"/>
    <cellStyle name="_4.06E Pass Throughs_04 07E Wild Horse Wind Expansion (C) (2)_Adj Bench DR 3 for Initial Briefs (Electric)" xfId="27"/>
    <cellStyle name="_4.06E Pass Throughs_04 07E Wild Horse Wind Expansion (C) (2)_Adj Bench DR 3 for Initial Briefs (Electric) 2" xfId="28"/>
    <cellStyle name="_4.06E Pass Throughs_04 07E Wild Horse Wind Expansion (C) (2)_Adj Bench DR 3 for Initial Briefs (Electric) 2 2" xfId="4936"/>
    <cellStyle name="_4.06E Pass Throughs_04 07E Wild Horse Wind Expansion (C) (2)_Adj Bench DR 3 for Initial Briefs (Electric) 3" xfId="4937"/>
    <cellStyle name="_4.06E Pass Throughs_04 07E Wild Horse Wind Expansion (C) (2)_Electric Rev Req Model (2009 GRC) " xfId="29"/>
    <cellStyle name="_4.06E Pass Throughs_04 07E Wild Horse Wind Expansion (C) (2)_Electric Rev Req Model (2009 GRC)  2" xfId="30"/>
    <cellStyle name="_4.06E Pass Throughs_04 07E Wild Horse Wind Expansion (C) (2)_Electric Rev Req Model (2009 GRC)  2 2" xfId="4938"/>
    <cellStyle name="_4.06E Pass Throughs_04 07E Wild Horse Wind Expansion (C) (2)_Electric Rev Req Model (2009 GRC)  3" xfId="4939"/>
    <cellStyle name="_4.06E Pass Throughs_04 07E Wild Horse Wind Expansion (C) (2)_Electric Rev Req Model (2009 GRC) Rebuttal" xfId="31"/>
    <cellStyle name="_4.06E Pass Throughs_04 07E Wild Horse Wind Expansion (C) (2)_Electric Rev Req Model (2009 GRC) Rebuttal 2" xfId="3530"/>
    <cellStyle name="_4.06E Pass Throughs_04 07E Wild Horse Wind Expansion (C) (2)_Electric Rev Req Model (2009 GRC) Rebuttal 2 2" xfId="4940"/>
    <cellStyle name="_4.06E Pass Throughs_04 07E Wild Horse Wind Expansion (C) (2)_Electric Rev Req Model (2009 GRC) Rebuttal 3" xfId="4941"/>
    <cellStyle name="_4.06E Pass Throughs_04 07E Wild Horse Wind Expansion (C) (2)_Electric Rev Req Model (2009 GRC) Rebuttal REmoval of New  WH Solar AdjustMI" xfId="32"/>
    <cellStyle name="_4.06E Pass Throughs_04 07E Wild Horse Wind Expansion (C) (2)_Electric Rev Req Model (2009 GRC) Rebuttal REmoval of New  WH Solar AdjustMI 2" xfId="33"/>
    <cellStyle name="_4.06E Pass Throughs_04 07E Wild Horse Wind Expansion (C) (2)_Electric Rev Req Model (2009 GRC) Rebuttal REmoval of New  WH Solar AdjustMI 2 2" xfId="4942"/>
    <cellStyle name="_4.06E Pass Throughs_04 07E Wild Horse Wind Expansion (C) (2)_Electric Rev Req Model (2009 GRC) Rebuttal REmoval of New  WH Solar AdjustMI 3" xfId="4943"/>
    <cellStyle name="_4.06E Pass Throughs_04 07E Wild Horse Wind Expansion (C) (2)_Electric Rev Req Model (2009 GRC) Revised 01-18-2010" xfId="34"/>
    <cellStyle name="_4.06E Pass Throughs_04 07E Wild Horse Wind Expansion (C) (2)_Electric Rev Req Model (2009 GRC) Revised 01-18-2010 2" xfId="35"/>
    <cellStyle name="_4.06E Pass Throughs_04 07E Wild Horse Wind Expansion (C) (2)_Electric Rev Req Model (2009 GRC) Revised 01-18-2010 2 2" xfId="4944"/>
    <cellStyle name="_4.06E Pass Throughs_04 07E Wild Horse Wind Expansion (C) (2)_Electric Rev Req Model (2009 GRC) Revised 01-18-2010 3" xfId="4945"/>
    <cellStyle name="_4.06E Pass Throughs_04 07E Wild Horse Wind Expansion (C) (2)_Final Order Electric EXHIBIT A-1" xfId="36"/>
    <cellStyle name="_4.06E Pass Throughs_04 07E Wild Horse Wind Expansion (C) (2)_Final Order Electric EXHIBIT A-1 2" xfId="3531"/>
    <cellStyle name="_4.06E Pass Throughs_04 07E Wild Horse Wind Expansion (C) (2)_Final Order Electric EXHIBIT A-1 2 2" xfId="4946"/>
    <cellStyle name="_4.06E Pass Throughs_04 07E Wild Horse Wind Expansion (C) (2)_Final Order Electric EXHIBIT A-1 3" xfId="4947"/>
    <cellStyle name="_4.06E Pass Throughs_04 07E Wild Horse Wind Expansion (C) (2)_TENASKA REGULATORY ASSET" xfId="37"/>
    <cellStyle name="_4.06E Pass Throughs_04 07E Wild Horse Wind Expansion (C) (2)_TENASKA REGULATORY ASSET 2" xfId="3532"/>
    <cellStyle name="_4.06E Pass Throughs_04 07E Wild Horse Wind Expansion (C) (2)_TENASKA REGULATORY ASSET 2 2" xfId="4948"/>
    <cellStyle name="_4.06E Pass Throughs_04 07E Wild Horse Wind Expansion (C) (2)_TENASKA REGULATORY ASSET 3" xfId="4949"/>
    <cellStyle name="_4.06E Pass Throughs_16.37E Wild Horse Expansion DeferralRevwrkingfile SF" xfId="38"/>
    <cellStyle name="_4.06E Pass Throughs_16.37E Wild Horse Expansion DeferralRevwrkingfile SF 2" xfId="39"/>
    <cellStyle name="_4.06E Pass Throughs_16.37E Wild Horse Expansion DeferralRevwrkingfile SF 2 2" xfId="4950"/>
    <cellStyle name="_4.06E Pass Throughs_16.37E Wild Horse Expansion DeferralRevwrkingfile SF 3" xfId="4951"/>
    <cellStyle name="_4.06E Pass Throughs_2009 GRC Compl Filing - Exhibit D" xfId="40"/>
    <cellStyle name="_4.06E Pass Throughs_2009 GRC Compl Filing - Exhibit D 2" xfId="41"/>
    <cellStyle name="_4.06E Pass Throughs_4 31 Regulatory Assets and Liabilities  7 06- Exhibit D" xfId="42"/>
    <cellStyle name="_4.06E Pass Throughs_4 31 Regulatory Assets and Liabilities  7 06- Exhibit D 2" xfId="43"/>
    <cellStyle name="_4.06E Pass Throughs_4 31 Regulatory Assets and Liabilities  7 06- Exhibit D 2 2" xfId="4952"/>
    <cellStyle name="_4.06E Pass Throughs_4 31 Regulatory Assets and Liabilities  7 06- Exhibit D 3" xfId="4953"/>
    <cellStyle name="_4.06E Pass Throughs_4 31 Regulatory Assets and Liabilities  7 06- Exhibit D_NIM Summary" xfId="44"/>
    <cellStyle name="_4.06E Pass Throughs_4 31 Regulatory Assets and Liabilities  7 06- Exhibit D_NIM Summary 2" xfId="45"/>
    <cellStyle name="_4.06E Pass Throughs_4 32 Regulatory Assets and Liabilities  7 06- Exhibit D" xfId="46"/>
    <cellStyle name="_4.06E Pass Throughs_4 32 Regulatory Assets and Liabilities  7 06- Exhibit D 2" xfId="47"/>
    <cellStyle name="_4.06E Pass Throughs_4 32 Regulatory Assets and Liabilities  7 06- Exhibit D 2 2" xfId="4954"/>
    <cellStyle name="_4.06E Pass Throughs_4 32 Regulatory Assets and Liabilities  7 06- Exhibit D 3" xfId="4955"/>
    <cellStyle name="_4.06E Pass Throughs_4 32 Regulatory Assets and Liabilities  7 06- Exhibit D_NIM Summary" xfId="48"/>
    <cellStyle name="_4.06E Pass Throughs_4 32 Regulatory Assets and Liabilities  7 06- Exhibit D_NIM Summary 2" xfId="49"/>
    <cellStyle name="_4.06E Pass Throughs_AURORA Total New" xfId="50"/>
    <cellStyle name="_4.06E Pass Throughs_AURORA Total New 2" xfId="51"/>
    <cellStyle name="_4.06E Pass Throughs_Book2" xfId="52"/>
    <cellStyle name="_4.06E Pass Throughs_Book2 2" xfId="53"/>
    <cellStyle name="_4.06E Pass Throughs_Book2 2 2" xfId="4956"/>
    <cellStyle name="_4.06E Pass Throughs_Book2 3" xfId="4957"/>
    <cellStyle name="_4.06E Pass Throughs_Book2_Adj Bench DR 3 for Initial Briefs (Electric)" xfId="54"/>
    <cellStyle name="_4.06E Pass Throughs_Book2_Adj Bench DR 3 for Initial Briefs (Electric) 2" xfId="55"/>
    <cellStyle name="_4.06E Pass Throughs_Book2_Adj Bench DR 3 for Initial Briefs (Electric) 2 2" xfId="4958"/>
    <cellStyle name="_4.06E Pass Throughs_Book2_Adj Bench DR 3 for Initial Briefs (Electric) 3" xfId="4959"/>
    <cellStyle name="_4.06E Pass Throughs_Book2_Electric Rev Req Model (2009 GRC) Rebuttal" xfId="56"/>
    <cellStyle name="_4.06E Pass Throughs_Book2_Electric Rev Req Model (2009 GRC) Rebuttal 2" xfId="3533"/>
    <cellStyle name="_4.06E Pass Throughs_Book2_Electric Rev Req Model (2009 GRC) Rebuttal 2 2" xfId="4960"/>
    <cellStyle name="_4.06E Pass Throughs_Book2_Electric Rev Req Model (2009 GRC) Rebuttal 3" xfId="4961"/>
    <cellStyle name="_4.06E Pass Throughs_Book2_Electric Rev Req Model (2009 GRC) Rebuttal REmoval of New  WH Solar AdjustMI" xfId="57"/>
    <cellStyle name="_4.06E Pass Throughs_Book2_Electric Rev Req Model (2009 GRC) Rebuttal REmoval of New  WH Solar AdjustMI 2" xfId="58"/>
    <cellStyle name="_4.06E Pass Throughs_Book2_Electric Rev Req Model (2009 GRC) Rebuttal REmoval of New  WH Solar AdjustMI 2 2" xfId="4962"/>
    <cellStyle name="_4.06E Pass Throughs_Book2_Electric Rev Req Model (2009 GRC) Rebuttal REmoval of New  WH Solar AdjustMI 3" xfId="4963"/>
    <cellStyle name="_4.06E Pass Throughs_Book2_Electric Rev Req Model (2009 GRC) Revised 01-18-2010" xfId="59"/>
    <cellStyle name="_4.06E Pass Throughs_Book2_Electric Rev Req Model (2009 GRC) Revised 01-18-2010 2" xfId="60"/>
    <cellStyle name="_4.06E Pass Throughs_Book2_Electric Rev Req Model (2009 GRC) Revised 01-18-2010 2 2" xfId="4964"/>
    <cellStyle name="_4.06E Pass Throughs_Book2_Electric Rev Req Model (2009 GRC) Revised 01-18-2010 3" xfId="4965"/>
    <cellStyle name="_4.06E Pass Throughs_Book2_Final Order Electric EXHIBIT A-1" xfId="61"/>
    <cellStyle name="_4.06E Pass Throughs_Book2_Final Order Electric EXHIBIT A-1 2" xfId="3534"/>
    <cellStyle name="_4.06E Pass Throughs_Book2_Final Order Electric EXHIBIT A-1 2 2" xfId="4966"/>
    <cellStyle name="_4.06E Pass Throughs_Book2_Final Order Electric EXHIBIT A-1 3" xfId="4967"/>
    <cellStyle name="_4.06E Pass Throughs_Book4" xfId="62"/>
    <cellStyle name="_4.06E Pass Throughs_Book4 2" xfId="63"/>
    <cellStyle name="_4.06E Pass Throughs_Book4 2 2" xfId="4968"/>
    <cellStyle name="_4.06E Pass Throughs_Book4 3" xfId="4969"/>
    <cellStyle name="_4.06E Pass Throughs_Book9" xfId="64"/>
    <cellStyle name="_4.06E Pass Throughs_Book9 2" xfId="65"/>
    <cellStyle name="_4.06E Pass Throughs_Book9 2 2" xfId="4970"/>
    <cellStyle name="_4.06E Pass Throughs_Book9 3" xfId="4971"/>
    <cellStyle name="_4.06E Pass Throughs_INPUTS" xfId="3535"/>
    <cellStyle name="_4.06E Pass Throughs_INPUTS 2" xfId="3536"/>
    <cellStyle name="_4.06E Pass Throughs_INPUTS 2 2" xfId="4972"/>
    <cellStyle name="_4.06E Pass Throughs_INPUTS 3" xfId="4973"/>
    <cellStyle name="_4.06E Pass Throughs_NIM Summary" xfId="66"/>
    <cellStyle name="_4.06E Pass Throughs_NIM Summary 09GRC" xfId="67"/>
    <cellStyle name="_4.06E Pass Throughs_NIM Summary 09GRC 2" xfId="68"/>
    <cellStyle name="_4.06E Pass Throughs_NIM Summary 2" xfId="69"/>
    <cellStyle name="_4.06E Pass Throughs_NIM Summary 3" xfId="70"/>
    <cellStyle name="_4.06E Pass Throughs_NIM Summary 4" xfId="3241"/>
    <cellStyle name="_4.06E Pass Throughs_NIM Summary 5" xfId="3242"/>
    <cellStyle name="_4.06E Pass Throughs_NIM Summary 6" xfId="3243"/>
    <cellStyle name="_4.06E Pass Throughs_NIM Summary 7" xfId="3244"/>
    <cellStyle name="_4.06E Pass Throughs_NIM Summary 8" xfId="3245"/>
    <cellStyle name="_4.06E Pass Throughs_NIM Summary 9" xfId="3246"/>
    <cellStyle name="_4.06E Pass Throughs_PCA 9 -  Exhibit D April 2010 (3)" xfId="71"/>
    <cellStyle name="_4.06E Pass Throughs_PCA 9 -  Exhibit D April 2010 (3) 2" xfId="72"/>
    <cellStyle name="_4.06E Pass Throughs_Power Costs - Comparison bx Rbtl-Staff-Jt-PC" xfId="73"/>
    <cellStyle name="_4.06E Pass Throughs_Power Costs - Comparison bx Rbtl-Staff-Jt-PC 2" xfId="74"/>
    <cellStyle name="_4.06E Pass Throughs_Power Costs - Comparison bx Rbtl-Staff-Jt-PC 2 2" xfId="4974"/>
    <cellStyle name="_4.06E Pass Throughs_Power Costs - Comparison bx Rbtl-Staff-Jt-PC 3" xfId="4975"/>
    <cellStyle name="_4.06E Pass Throughs_Power Costs - Comparison bx Rbtl-Staff-Jt-PC_Adj Bench DR 3 for Initial Briefs (Electric)" xfId="75"/>
    <cellStyle name="_4.06E Pass Throughs_Power Costs - Comparison bx Rbtl-Staff-Jt-PC_Adj Bench DR 3 for Initial Briefs (Electric) 2" xfId="76"/>
    <cellStyle name="_4.06E Pass Throughs_Power Costs - Comparison bx Rbtl-Staff-Jt-PC_Adj Bench DR 3 for Initial Briefs (Electric) 2 2" xfId="4976"/>
    <cellStyle name="_4.06E Pass Throughs_Power Costs - Comparison bx Rbtl-Staff-Jt-PC_Adj Bench DR 3 for Initial Briefs (Electric) 3" xfId="4977"/>
    <cellStyle name="_4.06E Pass Throughs_Power Costs - Comparison bx Rbtl-Staff-Jt-PC_Electric Rev Req Model (2009 GRC) Rebuttal" xfId="77"/>
    <cellStyle name="_4.06E Pass Throughs_Power Costs - Comparison bx Rbtl-Staff-Jt-PC_Electric Rev Req Model (2009 GRC) Rebuttal 2" xfId="3537"/>
    <cellStyle name="_4.06E Pass Throughs_Power Costs - Comparison bx Rbtl-Staff-Jt-PC_Electric Rev Req Model (2009 GRC) Rebuttal 2 2" xfId="4978"/>
    <cellStyle name="_4.06E Pass Throughs_Power Costs - Comparison bx Rbtl-Staff-Jt-PC_Electric Rev Req Model (2009 GRC) Rebuttal 3" xfId="4979"/>
    <cellStyle name="_4.06E Pass Throughs_Power Costs - Comparison bx Rbtl-Staff-Jt-PC_Electric Rev Req Model (2009 GRC) Rebuttal REmoval of New  WH Solar AdjustMI" xfId="78"/>
    <cellStyle name="_4.06E Pass Throughs_Power Costs - Comparison bx Rbtl-Staff-Jt-PC_Electric Rev Req Model (2009 GRC) Rebuttal REmoval of New  WH Solar AdjustMI 2" xfId="79"/>
    <cellStyle name="_4.06E Pass Throughs_Power Costs - Comparison bx Rbtl-Staff-Jt-PC_Electric Rev Req Model (2009 GRC) Rebuttal REmoval of New  WH Solar AdjustMI 2 2" xfId="4980"/>
    <cellStyle name="_4.06E Pass Throughs_Power Costs - Comparison bx Rbtl-Staff-Jt-PC_Electric Rev Req Model (2009 GRC) Rebuttal REmoval of New  WH Solar AdjustMI 3" xfId="4981"/>
    <cellStyle name="_4.06E Pass Throughs_Power Costs - Comparison bx Rbtl-Staff-Jt-PC_Electric Rev Req Model (2009 GRC) Revised 01-18-2010" xfId="80"/>
    <cellStyle name="_4.06E Pass Throughs_Power Costs - Comparison bx Rbtl-Staff-Jt-PC_Electric Rev Req Model (2009 GRC) Revised 01-18-2010 2" xfId="81"/>
    <cellStyle name="_4.06E Pass Throughs_Power Costs - Comparison bx Rbtl-Staff-Jt-PC_Electric Rev Req Model (2009 GRC) Revised 01-18-2010 2 2" xfId="4982"/>
    <cellStyle name="_4.06E Pass Throughs_Power Costs - Comparison bx Rbtl-Staff-Jt-PC_Electric Rev Req Model (2009 GRC) Revised 01-18-2010 3" xfId="4983"/>
    <cellStyle name="_4.06E Pass Throughs_Power Costs - Comparison bx Rbtl-Staff-Jt-PC_Final Order Electric EXHIBIT A-1" xfId="82"/>
    <cellStyle name="_4.06E Pass Throughs_Power Costs - Comparison bx Rbtl-Staff-Jt-PC_Final Order Electric EXHIBIT A-1 2" xfId="3538"/>
    <cellStyle name="_4.06E Pass Throughs_Power Costs - Comparison bx Rbtl-Staff-Jt-PC_Final Order Electric EXHIBIT A-1 2 2" xfId="4984"/>
    <cellStyle name="_4.06E Pass Throughs_Power Costs - Comparison bx Rbtl-Staff-Jt-PC_Final Order Electric EXHIBIT A-1 3" xfId="4985"/>
    <cellStyle name="_4.06E Pass Throughs_Production Adj 4.37" xfId="3539"/>
    <cellStyle name="_4.06E Pass Throughs_Production Adj 4.37 2" xfId="3540"/>
    <cellStyle name="_4.06E Pass Throughs_Production Adj 4.37 2 2" xfId="4986"/>
    <cellStyle name="_4.06E Pass Throughs_Production Adj 4.37 3" xfId="4987"/>
    <cellStyle name="_4.06E Pass Throughs_Purchased Power Adj 4.03" xfId="3541"/>
    <cellStyle name="_4.06E Pass Throughs_Purchased Power Adj 4.03 2" xfId="3542"/>
    <cellStyle name="_4.06E Pass Throughs_Purchased Power Adj 4.03 2 2" xfId="4988"/>
    <cellStyle name="_4.06E Pass Throughs_Purchased Power Adj 4.03 3" xfId="4989"/>
    <cellStyle name="_4.06E Pass Throughs_Rebuttal Power Costs" xfId="83"/>
    <cellStyle name="_4.06E Pass Throughs_Rebuttal Power Costs 2" xfId="84"/>
    <cellStyle name="_4.06E Pass Throughs_Rebuttal Power Costs 2 2" xfId="4990"/>
    <cellStyle name="_4.06E Pass Throughs_Rebuttal Power Costs 3" xfId="4991"/>
    <cellStyle name="_4.06E Pass Throughs_Rebuttal Power Costs_Adj Bench DR 3 for Initial Briefs (Electric)" xfId="85"/>
    <cellStyle name="_4.06E Pass Throughs_Rebuttal Power Costs_Adj Bench DR 3 for Initial Briefs (Electric) 2" xfId="86"/>
    <cellStyle name="_4.06E Pass Throughs_Rebuttal Power Costs_Adj Bench DR 3 for Initial Briefs (Electric) 2 2" xfId="4992"/>
    <cellStyle name="_4.06E Pass Throughs_Rebuttal Power Costs_Adj Bench DR 3 for Initial Briefs (Electric) 3" xfId="4993"/>
    <cellStyle name="_4.06E Pass Throughs_Rebuttal Power Costs_Electric Rev Req Model (2009 GRC) Rebuttal" xfId="87"/>
    <cellStyle name="_4.06E Pass Throughs_Rebuttal Power Costs_Electric Rev Req Model (2009 GRC) Rebuttal 2" xfId="3543"/>
    <cellStyle name="_4.06E Pass Throughs_Rebuttal Power Costs_Electric Rev Req Model (2009 GRC) Rebuttal 2 2" xfId="4994"/>
    <cellStyle name="_4.06E Pass Throughs_Rebuttal Power Costs_Electric Rev Req Model (2009 GRC) Rebuttal 3" xfId="4995"/>
    <cellStyle name="_4.06E Pass Throughs_Rebuttal Power Costs_Electric Rev Req Model (2009 GRC) Rebuttal REmoval of New  WH Solar AdjustMI" xfId="88"/>
    <cellStyle name="_4.06E Pass Throughs_Rebuttal Power Costs_Electric Rev Req Model (2009 GRC) Rebuttal REmoval of New  WH Solar AdjustMI 2" xfId="89"/>
    <cellStyle name="_4.06E Pass Throughs_Rebuttal Power Costs_Electric Rev Req Model (2009 GRC) Rebuttal REmoval of New  WH Solar AdjustMI 2 2" xfId="4996"/>
    <cellStyle name="_4.06E Pass Throughs_Rebuttal Power Costs_Electric Rev Req Model (2009 GRC) Rebuttal REmoval of New  WH Solar AdjustMI 3" xfId="4997"/>
    <cellStyle name="_4.06E Pass Throughs_Rebuttal Power Costs_Electric Rev Req Model (2009 GRC) Revised 01-18-2010" xfId="90"/>
    <cellStyle name="_4.06E Pass Throughs_Rebuttal Power Costs_Electric Rev Req Model (2009 GRC) Revised 01-18-2010 2" xfId="91"/>
    <cellStyle name="_4.06E Pass Throughs_Rebuttal Power Costs_Electric Rev Req Model (2009 GRC) Revised 01-18-2010 2 2" xfId="4998"/>
    <cellStyle name="_4.06E Pass Throughs_Rebuttal Power Costs_Electric Rev Req Model (2009 GRC) Revised 01-18-2010 3" xfId="4999"/>
    <cellStyle name="_4.06E Pass Throughs_Rebuttal Power Costs_Final Order Electric EXHIBIT A-1" xfId="92"/>
    <cellStyle name="_4.06E Pass Throughs_Rebuttal Power Costs_Final Order Electric EXHIBIT A-1 2" xfId="3544"/>
    <cellStyle name="_4.06E Pass Throughs_Rebuttal Power Costs_Final Order Electric EXHIBIT A-1 2 2" xfId="5000"/>
    <cellStyle name="_4.06E Pass Throughs_Rebuttal Power Costs_Final Order Electric EXHIBIT A-1 3" xfId="5001"/>
    <cellStyle name="_4.06E Pass Throughs_ROR &amp; CONV FACTOR" xfId="3545"/>
    <cellStyle name="_4.06E Pass Throughs_ROR &amp; CONV FACTOR 2" xfId="3546"/>
    <cellStyle name="_4.06E Pass Throughs_ROR &amp; CONV FACTOR 2 2" xfId="5002"/>
    <cellStyle name="_4.06E Pass Throughs_ROR &amp; CONV FACTOR 3" xfId="5003"/>
    <cellStyle name="_4.06E Pass Throughs_ROR 5.02" xfId="3547"/>
    <cellStyle name="_4.06E Pass Throughs_ROR 5.02 2" xfId="3548"/>
    <cellStyle name="_4.06E Pass Throughs_ROR 5.02 2 2" xfId="5004"/>
    <cellStyle name="_4.06E Pass Throughs_ROR 5.02 3" xfId="5005"/>
    <cellStyle name="_4.06E Pass Throughs_Wind Integration 10GRC" xfId="93"/>
    <cellStyle name="_4.06E Pass Throughs_Wind Integration 10GRC 2" xfId="94"/>
    <cellStyle name="_4.13E Montana Energy Tax" xfId="95"/>
    <cellStyle name="_4.13E Montana Energy Tax 2" xfId="96"/>
    <cellStyle name="_4.13E Montana Energy Tax 2 2" xfId="97"/>
    <cellStyle name="_4.13E Montana Energy Tax 2 2 2" xfId="5006"/>
    <cellStyle name="_4.13E Montana Energy Tax 2 3" xfId="5007"/>
    <cellStyle name="_4.13E Montana Energy Tax 3" xfId="98"/>
    <cellStyle name="_4.13E Montana Energy Tax 3 2" xfId="3549"/>
    <cellStyle name="_4.13E Montana Energy Tax 3 2 2" xfId="5008"/>
    <cellStyle name="_4.13E Montana Energy Tax 3 3" xfId="3550"/>
    <cellStyle name="_4.13E Montana Energy Tax 3 3 2" xfId="5009"/>
    <cellStyle name="_4.13E Montana Energy Tax 3 4" xfId="3551"/>
    <cellStyle name="_4.13E Montana Energy Tax 3 4 2" xfId="5010"/>
    <cellStyle name="_4.13E Montana Energy Tax 4" xfId="99"/>
    <cellStyle name="_4.13E Montana Energy Tax 4 2" xfId="3247"/>
    <cellStyle name="_4.13E Montana Energy Tax 5" xfId="5011"/>
    <cellStyle name="_4.13E Montana Energy Tax_04 07E Wild Horse Wind Expansion (C) (2)" xfId="100"/>
    <cellStyle name="_4.13E Montana Energy Tax_04 07E Wild Horse Wind Expansion (C) (2) 2" xfId="101"/>
    <cellStyle name="_4.13E Montana Energy Tax_04 07E Wild Horse Wind Expansion (C) (2) 2 2" xfId="5012"/>
    <cellStyle name="_4.13E Montana Energy Tax_04 07E Wild Horse Wind Expansion (C) (2) 3" xfId="5013"/>
    <cellStyle name="_4.13E Montana Energy Tax_04 07E Wild Horse Wind Expansion (C) (2)_Adj Bench DR 3 for Initial Briefs (Electric)" xfId="102"/>
    <cellStyle name="_4.13E Montana Energy Tax_04 07E Wild Horse Wind Expansion (C) (2)_Adj Bench DR 3 for Initial Briefs (Electric) 2" xfId="103"/>
    <cellStyle name="_4.13E Montana Energy Tax_04 07E Wild Horse Wind Expansion (C) (2)_Adj Bench DR 3 for Initial Briefs (Electric) 2 2" xfId="5014"/>
    <cellStyle name="_4.13E Montana Energy Tax_04 07E Wild Horse Wind Expansion (C) (2)_Adj Bench DR 3 for Initial Briefs (Electric) 3" xfId="5015"/>
    <cellStyle name="_4.13E Montana Energy Tax_04 07E Wild Horse Wind Expansion (C) (2)_Electric Rev Req Model (2009 GRC) " xfId="104"/>
    <cellStyle name="_4.13E Montana Energy Tax_04 07E Wild Horse Wind Expansion (C) (2)_Electric Rev Req Model (2009 GRC)  2" xfId="105"/>
    <cellStyle name="_4.13E Montana Energy Tax_04 07E Wild Horse Wind Expansion (C) (2)_Electric Rev Req Model (2009 GRC)  2 2" xfId="5016"/>
    <cellStyle name="_4.13E Montana Energy Tax_04 07E Wild Horse Wind Expansion (C) (2)_Electric Rev Req Model (2009 GRC)  3" xfId="5017"/>
    <cellStyle name="_4.13E Montana Energy Tax_04 07E Wild Horse Wind Expansion (C) (2)_Electric Rev Req Model (2009 GRC) Rebuttal" xfId="106"/>
    <cellStyle name="_4.13E Montana Energy Tax_04 07E Wild Horse Wind Expansion (C) (2)_Electric Rev Req Model (2009 GRC) Rebuttal 2" xfId="3552"/>
    <cellStyle name="_4.13E Montana Energy Tax_04 07E Wild Horse Wind Expansion (C) (2)_Electric Rev Req Model (2009 GRC) Rebuttal 2 2" xfId="5018"/>
    <cellStyle name="_4.13E Montana Energy Tax_04 07E Wild Horse Wind Expansion (C) (2)_Electric Rev Req Model (2009 GRC) Rebuttal 3" xfId="5019"/>
    <cellStyle name="_4.13E Montana Energy Tax_04 07E Wild Horse Wind Expansion (C) (2)_Electric Rev Req Model (2009 GRC) Rebuttal REmoval of New  WH Solar AdjustMI" xfId="107"/>
    <cellStyle name="_4.13E Montana Energy Tax_04 07E Wild Horse Wind Expansion (C) (2)_Electric Rev Req Model (2009 GRC) Rebuttal REmoval of New  WH Solar AdjustMI 2" xfId="108"/>
    <cellStyle name="_4.13E Montana Energy Tax_04 07E Wild Horse Wind Expansion (C) (2)_Electric Rev Req Model (2009 GRC) Rebuttal REmoval of New  WH Solar AdjustMI 2 2" xfId="5020"/>
    <cellStyle name="_4.13E Montana Energy Tax_04 07E Wild Horse Wind Expansion (C) (2)_Electric Rev Req Model (2009 GRC) Rebuttal REmoval of New  WH Solar AdjustMI 3" xfId="5021"/>
    <cellStyle name="_4.13E Montana Energy Tax_04 07E Wild Horse Wind Expansion (C) (2)_Electric Rev Req Model (2009 GRC) Revised 01-18-2010" xfId="109"/>
    <cellStyle name="_4.13E Montana Energy Tax_04 07E Wild Horse Wind Expansion (C) (2)_Electric Rev Req Model (2009 GRC) Revised 01-18-2010 2" xfId="110"/>
    <cellStyle name="_4.13E Montana Energy Tax_04 07E Wild Horse Wind Expansion (C) (2)_Electric Rev Req Model (2009 GRC) Revised 01-18-2010 2 2" xfId="5022"/>
    <cellStyle name="_4.13E Montana Energy Tax_04 07E Wild Horse Wind Expansion (C) (2)_Electric Rev Req Model (2009 GRC) Revised 01-18-2010 3" xfId="5023"/>
    <cellStyle name="_4.13E Montana Energy Tax_04 07E Wild Horse Wind Expansion (C) (2)_Final Order Electric EXHIBIT A-1" xfId="111"/>
    <cellStyle name="_4.13E Montana Energy Tax_04 07E Wild Horse Wind Expansion (C) (2)_Final Order Electric EXHIBIT A-1 2" xfId="3553"/>
    <cellStyle name="_4.13E Montana Energy Tax_04 07E Wild Horse Wind Expansion (C) (2)_Final Order Electric EXHIBIT A-1 2 2" xfId="5024"/>
    <cellStyle name="_4.13E Montana Energy Tax_04 07E Wild Horse Wind Expansion (C) (2)_Final Order Electric EXHIBIT A-1 3" xfId="5025"/>
    <cellStyle name="_4.13E Montana Energy Tax_04 07E Wild Horse Wind Expansion (C) (2)_TENASKA REGULATORY ASSET" xfId="112"/>
    <cellStyle name="_4.13E Montana Energy Tax_04 07E Wild Horse Wind Expansion (C) (2)_TENASKA REGULATORY ASSET 2" xfId="3554"/>
    <cellStyle name="_4.13E Montana Energy Tax_04 07E Wild Horse Wind Expansion (C) (2)_TENASKA REGULATORY ASSET 2 2" xfId="5026"/>
    <cellStyle name="_4.13E Montana Energy Tax_04 07E Wild Horse Wind Expansion (C) (2)_TENASKA REGULATORY ASSET 3" xfId="5027"/>
    <cellStyle name="_4.13E Montana Energy Tax_16.37E Wild Horse Expansion DeferralRevwrkingfile SF" xfId="113"/>
    <cellStyle name="_4.13E Montana Energy Tax_16.37E Wild Horse Expansion DeferralRevwrkingfile SF 2" xfId="114"/>
    <cellStyle name="_4.13E Montana Energy Tax_16.37E Wild Horse Expansion DeferralRevwrkingfile SF 2 2" xfId="5028"/>
    <cellStyle name="_4.13E Montana Energy Tax_16.37E Wild Horse Expansion DeferralRevwrkingfile SF 3" xfId="5029"/>
    <cellStyle name="_4.13E Montana Energy Tax_2009 GRC Compl Filing - Exhibit D" xfId="115"/>
    <cellStyle name="_4.13E Montana Energy Tax_2009 GRC Compl Filing - Exhibit D 2" xfId="116"/>
    <cellStyle name="_4.13E Montana Energy Tax_4 31 Regulatory Assets and Liabilities  7 06- Exhibit D" xfId="117"/>
    <cellStyle name="_4.13E Montana Energy Tax_4 31 Regulatory Assets and Liabilities  7 06- Exhibit D 2" xfId="118"/>
    <cellStyle name="_4.13E Montana Energy Tax_4 31 Regulatory Assets and Liabilities  7 06- Exhibit D 2 2" xfId="5030"/>
    <cellStyle name="_4.13E Montana Energy Tax_4 31 Regulatory Assets and Liabilities  7 06- Exhibit D 3" xfId="5031"/>
    <cellStyle name="_4.13E Montana Energy Tax_4 31 Regulatory Assets and Liabilities  7 06- Exhibit D_NIM Summary" xfId="119"/>
    <cellStyle name="_4.13E Montana Energy Tax_4 31 Regulatory Assets and Liabilities  7 06- Exhibit D_NIM Summary 2" xfId="120"/>
    <cellStyle name="_4.13E Montana Energy Tax_4 32 Regulatory Assets and Liabilities  7 06- Exhibit D" xfId="121"/>
    <cellStyle name="_4.13E Montana Energy Tax_4 32 Regulatory Assets and Liabilities  7 06- Exhibit D 2" xfId="122"/>
    <cellStyle name="_4.13E Montana Energy Tax_4 32 Regulatory Assets and Liabilities  7 06- Exhibit D 2 2" xfId="5032"/>
    <cellStyle name="_4.13E Montana Energy Tax_4 32 Regulatory Assets and Liabilities  7 06- Exhibit D 3" xfId="5033"/>
    <cellStyle name="_4.13E Montana Energy Tax_4 32 Regulatory Assets and Liabilities  7 06- Exhibit D_NIM Summary" xfId="123"/>
    <cellStyle name="_4.13E Montana Energy Tax_4 32 Regulatory Assets and Liabilities  7 06- Exhibit D_NIM Summary 2" xfId="124"/>
    <cellStyle name="_4.13E Montana Energy Tax_AURORA Total New" xfId="125"/>
    <cellStyle name="_4.13E Montana Energy Tax_AURORA Total New 2" xfId="126"/>
    <cellStyle name="_4.13E Montana Energy Tax_Book2" xfId="127"/>
    <cellStyle name="_4.13E Montana Energy Tax_Book2 2" xfId="128"/>
    <cellStyle name="_4.13E Montana Energy Tax_Book2 2 2" xfId="5034"/>
    <cellStyle name="_4.13E Montana Energy Tax_Book2 3" xfId="5035"/>
    <cellStyle name="_4.13E Montana Energy Tax_Book2_Adj Bench DR 3 for Initial Briefs (Electric)" xfId="129"/>
    <cellStyle name="_4.13E Montana Energy Tax_Book2_Adj Bench DR 3 for Initial Briefs (Electric) 2" xfId="130"/>
    <cellStyle name="_4.13E Montana Energy Tax_Book2_Adj Bench DR 3 for Initial Briefs (Electric) 2 2" xfId="5036"/>
    <cellStyle name="_4.13E Montana Energy Tax_Book2_Adj Bench DR 3 for Initial Briefs (Electric) 3" xfId="5037"/>
    <cellStyle name="_4.13E Montana Energy Tax_Book2_Electric Rev Req Model (2009 GRC) Rebuttal" xfId="131"/>
    <cellStyle name="_4.13E Montana Energy Tax_Book2_Electric Rev Req Model (2009 GRC) Rebuttal 2" xfId="3555"/>
    <cellStyle name="_4.13E Montana Energy Tax_Book2_Electric Rev Req Model (2009 GRC) Rebuttal 2 2" xfId="5038"/>
    <cellStyle name="_4.13E Montana Energy Tax_Book2_Electric Rev Req Model (2009 GRC) Rebuttal 3" xfId="5039"/>
    <cellStyle name="_4.13E Montana Energy Tax_Book2_Electric Rev Req Model (2009 GRC) Rebuttal REmoval of New  WH Solar AdjustMI" xfId="132"/>
    <cellStyle name="_4.13E Montana Energy Tax_Book2_Electric Rev Req Model (2009 GRC) Rebuttal REmoval of New  WH Solar AdjustMI 2" xfId="133"/>
    <cellStyle name="_4.13E Montana Energy Tax_Book2_Electric Rev Req Model (2009 GRC) Rebuttal REmoval of New  WH Solar AdjustMI 2 2" xfId="5040"/>
    <cellStyle name="_4.13E Montana Energy Tax_Book2_Electric Rev Req Model (2009 GRC) Rebuttal REmoval of New  WH Solar AdjustMI 3" xfId="5041"/>
    <cellStyle name="_4.13E Montana Energy Tax_Book2_Electric Rev Req Model (2009 GRC) Revised 01-18-2010" xfId="134"/>
    <cellStyle name="_4.13E Montana Energy Tax_Book2_Electric Rev Req Model (2009 GRC) Revised 01-18-2010 2" xfId="135"/>
    <cellStyle name="_4.13E Montana Energy Tax_Book2_Electric Rev Req Model (2009 GRC) Revised 01-18-2010 2 2" xfId="5042"/>
    <cellStyle name="_4.13E Montana Energy Tax_Book2_Electric Rev Req Model (2009 GRC) Revised 01-18-2010 3" xfId="5043"/>
    <cellStyle name="_4.13E Montana Energy Tax_Book2_Final Order Electric EXHIBIT A-1" xfId="136"/>
    <cellStyle name="_4.13E Montana Energy Tax_Book2_Final Order Electric EXHIBIT A-1 2" xfId="3556"/>
    <cellStyle name="_4.13E Montana Energy Tax_Book2_Final Order Electric EXHIBIT A-1 2 2" xfId="5044"/>
    <cellStyle name="_4.13E Montana Energy Tax_Book2_Final Order Electric EXHIBIT A-1 3" xfId="5045"/>
    <cellStyle name="_4.13E Montana Energy Tax_Book4" xfId="137"/>
    <cellStyle name="_4.13E Montana Energy Tax_Book4 2" xfId="138"/>
    <cellStyle name="_4.13E Montana Energy Tax_Book4 2 2" xfId="5046"/>
    <cellStyle name="_4.13E Montana Energy Tax_Book4 3" xfId="5047"/>
    <cellStyle name="_4.13E Montana Energy Tax_Book9" xfId="139"/>
    <cellStyle name="_4.13E Montana Energy Tax_Book9 2" xfId="140"/>
    <cellStyle name="_4.13E Montana Energy Tax_Book9 2 2" xfId="5048"/>
    <cellStyle name="_4.13E Montana Energy Tax_Book9 3" xfId="5049"/>
    <cellStyle name="_4.13E Montana Energy Tax_INPUTS" xfId="3557"/>
    <cellStyle name="_4.13E Montana Energy Tax_INPUTS 2" xfId="3558"/>
    <cellStyle name="_4.13E Montana Energy Tax_INPUTS 2 2" xfId="5050"/>
    <cellStyle name="_4.13E Montana Energy Tax_INPUTS 3" xfId="5051"/>
    <cellStyle name="_4.13E Montana Energy Tax_NIM Summary" xfId="141"/>
    <cellStyle name="_4.13E Montana Energy Tax_NIM Summary 09GRC" xfId="142"/>
    <cellStyle name="_4.13E Montana Energy Tax_NIM Summary 09GRC 2" xfId="143"/>
    <cellStyle name="_4.13E Montana Energy Tax_NIM Summary 2" xfId="144"/>
    <cellStyle name="_4.13E Montana Energy Tax_NIM Summary 3" xfId="145"/>
    <cellStyle name="_4.13E Montana Energy Tax_NIM Summary 4" xfId="3248"/>
    <cellStyle name="_4.13E Montana Energy Tax_NIM Summary 5" xfId="3249"/>
    <cellStyle name="_4.13E Montana Energy Tax_NIM Summary 6" xfId="3250"/>
    <cellStyle name="_4.13E Montana Energy Tax_NIM Summary 7" xfId="3251"/>
    <cellStyle name="_4.13E Montana Energy Tax_NIM Summary 8" xfId="3252"/>
    <cellStyle name="_4.13E Montana Energy Tax_NIM Summary 9" xfId="3253"/>
    <cellStyle name="_4.13E Montana Energy Tax_PCA 9 -  Exhibit D April 2010 (3)" xfId="146"/>
    <cellStyle name="_4.13E Montana Energy Tax_PCA 9 -  Exhibit D April 2010 (3) 2" xfId="147"/>
    <cellStyle name="_4.13E Montana Energy Tax_Power Costs - Comparison bx Rbtl-Staff-Jt-PC" xfId="148"/>
    <cellStyle name="_4.13E Montana Energy Tax_Power Costs - Comparison bx Rbtl-Staff-Jt-PC 2" xfId="149"/>
    <cellStyle name="_4.13E Montana Energy Tax_Power Costs - Comparison bx Rbtl-Staff-Jt-PC 2 2" xfId="5052"/>
    <cellStyle name="_4.13E Montana Energy Tax_Power Costs - Comparison bx Rbtl-Staff-Jt-PC 3" xfId="5053"/>
    <cellStyle name="_4.13E Montana Energy Tax_Power Costs - Comparison bx Rbtl-Staff-Jt-PC_Adj Bench DR 3 for Initial Briefs (Electric)" xfId="150"/>
    <cellStyle name="_4.13E Montana Energy Tax_Power Costs - Comparison bx Rbtl-Staff-Jt-PC_Adj Bench DR 3 for Initial Briefs (Electric) 2" xfId="151"/>
    <cellStyle name="_4.13E Montana Energy Tax_Power Costs - Comparison bx Rbtl-Staff-Jt-PC_Adj Bench DR 3 for Initial Briefs (Electric) 2 2" xfId="5054"/>
    <cellStyle name="_4.13E Montana Energy Tax_Power Costs - Comparison bx Rbtl-Staff-Jt-PC_Adj Bench DR 3 for Initial Briefs (Electric) 3" xfId="5055"/>
    <cellStyle name="_4.13E Montana Energy Tax_Power Costs - Comparison bx Rbtl-Staff-Jt-PC_Electric Rev Req Model (2009 GRC) Rebuttal" xfId="152"/>
    <cellStyle name="_4.13E Montana Energy Tax_Power Costs - Comparison bx Rbtl-Staff-Jt-PC_Electric Rev Req Model (2009 GRC) Rebuttal 2" xfId="3559"/>
    <cellStyle name="_4.13E Montana Energy Tax_Power Costs - Comparison bx Rbtl-Staff-Jt-PC_Electric Rev Req Model (2009 GRC) Rebuttal 2 2" xfId="5056"/>
    <cellStyle name="_4.13E Montana Energy Tax_Power Costs - Comparison bx Rbtl-Staff-Jt-PC_Electric Rev Req Model (2009 GRC) Rebuttal 3" xfId="5057"/>
    <cellStyle name="_4.13E Montana Energy Tax_Power Costs - Comparison bx Rbtl-Staff-Jt-PC_Electric Rev Req Model (2009 GRC) Rebuttal REmoval of New  WH Solar AdjustMI" xfId="153"/>
    <cellStyle name="_4.13E Montana Energy Tax_Power Costs - Comparison bx Rbtl-Staff-Jt-PC_Electric Rev Req Model (2009 GRC) Rebuttal REmoval of New  WH Solar AdjustMI 2" xfId="154"/>
    <cellStyle name="_4.13E Montana Energy Tax_Power Costs - Comparison bx Rbtl-Staff-Jt-PC_Electric Rev Req Model (2009 GRC) Rebuttal REmoval of New  WH Solar AdjustMI 2 2" xfId="5058"/>
    <cellStyle name="_4.13E Montana Energy Tax_Power Costs - Comparison bx Rbtl-Staff-Jt-PC_Electric Rev Req Model (2009 GRC) Rebuttal REmoval of New  WH Solar AdjustMI 3" xfId="5059"/>
    <cellStyle name="_4.13E Montana Energy Tax_Power Costs - Comparison bx Rbtl-Staff-Jt-PC_Electric Rev Req Model (2009 GRC) Revised 01-18-2010" xfId="155"/>
    <cellStyle name="_4.13E Montana Energy Tax_Power Costs - Comparison bx Rbtl-Staff-Jt-PC_Electric Rev Req Model (2009 GRC) Revised 01-18-2010 2" xfId="156"/>
    <cellStyle name="_4.13E Montana Energy Tax_Power Costs - Comparison bx Rbtl-Staff-Jt-PC_Electric Rev Req Model (2009 GRC) Revised 01-18-2010 2 2" xfId="5060"/>
    <cellStyle name="_4.13E Montana Energy Tax_Power Costs - Comparison bx Rbtl-Staff-Jt-PC_Electric Rev Req Model (2009 GRC) Revised 01-18-2010 3" xfId="5061"/>
    <cellStyle name="_4.13E Montana Energy Tax_Power Costs - Comparison bx Rbtl-Staff-Jt-PC_Final Order Electric EXHIBIT A-1" xfId="157"/>
    <cellStyle name="_4.13E Montana Energy Tax_Power Costs - Comparison bx Rbtl-Staff-Jt-PC_Final Order Electric EXHIBIT A-1 2" xfId="3560"/>
    <cellStyle name="_4.13E Montana Energy Tax_Power Costs - Comparison bx Rbtl-Staff-Jt-PC_Final Order Electric EXHIBIT A-1 2 2" xfId="5062"/>
    <cellStyle name="_4.13E Montana Energy Tax_Power Costs - Comparison bx Rbtl-Staff-Jt-PC_Final Order Electric EXHIBIT A-1 3" xfId="5063"/>
    <cellStyle name="_4.13E Montana Energy Tax_Production Adj 4.37" xfId="3561"/>
    <cellStyle name="_4.13E Montana Energy Tax_Production Adj 4.37 2" xfId="3562"/>
    <cellStyle name="_4.13E Montana Energy Tax_Production Adj 4.37 2 2" xfId="5064"/>
    <cellStyle name="_4.13E Montana Energy Tax_Production Adj 4.37 3" xfId="5065"/>
    <cellStyle name="_4.13E Montana Energy Tax_Purchased Power Adj 4.03" xfId="3563"/>
    <cellStyle name="_4.13E Montana Energy Tax_Purchased Power Adj 4.03 2" xfId="3564"/>
    <cellStyle name="_4.13E Montana Energy Tax_Purchased Power Adj 4.03 2 2" xfId="5066"/>
    <cellStyle name="_4.13E Montana Energy Tax_Purchased Power Adj 4.03 3" xfId="5067"/>
    <cellStyle name="_4.13E Montana Energy Tax_Rebuttal Power Costs" xfId="158"/>
    <cellStyle name="_4.13E Montana Energy Tax_Rebuttal Power Costs 2" xfId="159"/>
    <cellStyle name="_4.13E Montana Energy Tax_Rebuttal Power Costs 2 2" xfId="5068"/>
    <cellStyle name="_4.13E Montana Energy Tax_Rebuttal Power Costs 3" xfId="5069"/>
    <cellStyle name="_4.13E Montana Energy Tax_Rebuttal Power Costs_Adj Bench DR 3 for Initial Briefs (Electric)" xfId="160"/>
    <cellStyle name="_4.13E Montana Energy Tax_Rebuttal Power Costs_Adj Bench DR 3 for Initial Briefs (Electric) 2" xfId="161"/>
    <cellStyle name="_4.13E Montana Energy Tax_Rebuttal Power Costs_Adj Bench DR 3 for Initial Briefs (Electric) 2 2" xfId="5070"/>
    <cellStyle name="_4.13E Montana Energy Tax_Rebuttal Power Costs_Adj Bench DR 3 for Initial Briefs (Electric) 3" xfId="5071"/>
    <cellStyle name="_4.13E Montana Energy Tax_Rebuttal Power Costs_Electric Rev Req Model (2009 GRC) Rebuttal" xfId="162"/>
    <cellStyle name="_4.13E Montana Energy Tax_Rebuttal Power Costs_Electric Rev Req Model (2009 GRC) Rebuttal 2" xfId="3565"/>
    <cellStyle name="_4.13E Montana Energy Tax_Rebuttal Power Costs_Electric Rev Req Model (2009 GRC) Rebuttal 2 2" xfId="5072"/>
    <cellStyle name="_4.13E Montana Energy Tax_Rebuttal Power Costs_Electric Rev Req Model (2009 GRC) Rebuttal 3" xfId="5073"/>
    <cellStyle name="_4.13E Montana Energy Tax_Rebuttal Power Costs_Electric Rev Req Model (2009 GRC) Rebuttal REmoval of New  WH Solar AdjustMI" xfId="163"/>
    <cellStyle name="_4.13E Montana Energy Tax_Rebuttal Power Costs_Electric Rev Req Model (2009 GRC) Rebuttal REmoval of New  WH Solar AdjustMI 2" xfId="164"/>
    <cellStyle name="_4.13E Montana Energy Tax_Rebuttal Power Costs_Electric Rev Req Model (2009 GRC) Rebuttal REmoval of New  WH Solar AdjustMI 2 2" xfId="5074"/>
    <cellStyle name="_4.13E Montana Energy Tax_Rebuttal Power Costs_Electric Rev Req Model (2009 GRC) Rebuttal REmoval of New  WH Solar AdjustMI 3" xfId="5075"/>
    <cellStyle name="_4.13E Montana Energy Tax_Rebuttal Power Costs_Electric Rev Req Model (2009 GRC) Revised 01-18-2010" xfId="165"/>
    <cellStyle name="_4.13E Montana Energy Tax_Rebuttal Power Costs_Electric Rev Req Model (2009 GRC) Revised 01-18-2010 2" xfId="166"/>
    <cellStyle name="_4.13E Montana Energy Tax_Rebuttal Power Costs_Electric Rev Req Model (2009 GRC) Revised 01-18-2010 2 2" xfId="5076"/>
    <cellStyle name="_4.13E Montana Energy Tax_Rebuttal Power Costs_Electric Rev Req Model (2009 GRC) Revised 01-18-2010 3" xfId="5077"/>
    <cellStyle name="_4.13E Montana Energy Tax_Rebuttal Power Costs_Final Order Electric EXHIBIT A-1" xfId="167"/>
    <cellStyle name="_4.13E Montana Energy Tax_Rebuttal Power Costs_Final Order Electric EXHIBIT A-1 2" xfId="3566"/>
    <cellStyle name="_4.13E Montana Energy Tax_Rebuttal Power Costs_Final Order Electric EXHIBIT A-1 2 2" xfId="5078"/>
    <cellStyle name="_4.13E Montana Energy Tax_Rebuttal Power Costs_Final Order Electric EXHIBIT A-1 3" xfId="5079"/>
    <cellStyle name="_4.13E Montana Energy Tax_ROR &amp; CONV FACTOR" xfId="3567"/>
    <cellStyle name="_4.13E Montana Energy Tax_ROR &amp; CONV FACTOR 2" xfId="3568"/>
    <cellStyle name="_4.13E Montana Energy Tax_ROR &amp; CONV FACTOR 2 2" xfId="5080"/>
    <cellStyle name="_4.13E Montana Energy Tax_ROR &amp; CONV FACTOR 3" xfId="5081"/>
    <cellStyle name="_4.13E Montana Energy Tax_ROR 5.02" xfId="3569"/>
    <cellStyle name="_4.13E Montana Energy Tax_ROR 5.02 2" xfId="3570"/>
    <cellStyle name="_4.13E Montana Energy Tax_ROR 5.02 2 2" xfId="5082"/>
    <cellStyle name="_4.13E Montana Energy Tax_ROR 5.02 3" xfId="5083"/>
    <cellStyle name="_4.13E Montana Energy Tax_Wind Integration 10GRC" xfId="168"/>
    <cellStyle name="_4.13E Montana Energy Tax_Wind Integration 10GRC 2" xfId="169"/>
    <cellStyle name="_x0013__Adj Bench DR 3 for Initial Briefs (Electric)" xfId="170"/>
    <cellStyle name="_x0013__Adj Bench DR 3 for Initial Briefs (Electric) 2" xfId="171"/>
    <cellStyle name="_x0013__Adj Bench DR 3 for Initial Briefs (Electric) 2 2" xfId="5084"/>
    <cellStyle name="_x0013__Adj Bench DR 3 for Initial Briefs (Electric) 3" xfId="5085"/>
    <cellStyle name="_AURORA WIP" xfId="172"/>
    <cellStyle name="_AURORA WIP 2" xfId="173"/>
    <cellStyle name="_AURORA WIP 2 2" xfId="5086"/>
    <cellStyle name="_AURORA WIP 3" xfId="5087"/>
    <cellStyle name="_AURORA WIP_DEM-WP(C) Costs Not In AURORA 2010GRC As Filed" xfId="174"/>
    <cellStyle name="_AURORA WIP_NIM Summary" xfId="175"/>
    <cellStyle name="_AURORA WIP_NIM Summary 09GRC" xfId="176"/>
    <cellStyle name="_AURORA WIP_NIM Summary 09GRC 2" xfId="177"/>
    <cellStyle name="_AURORA WIP_NIM Summary 2" xfId="178"/>
    <cellStyle name="_AURORA WIP_NIM Summary 3" xfId="179"/>
    <cellStyle name="_AURORA WIP_NIM Summary 4" xfId="3254"/>
    <cellStyle name="_AURORA WIP_NIM Summary 5" xfId="3255"/>
    <cellStyle name="_AURORA WIP_NIM Summary 6" xfId="3256"/>
    <cellStyle name="_AURORA WIP_NIM Summary 7" xfId="3257"/>
    <cellStyle name="_AURORA WIP_NIM Summary 8" xfId="3258"/>
    <cellStyle name="_AURORA WIP_NIM Summary 9" xfId="3259"/>
    <cellStyle name="_AURORA WIP_PCA 9 -  Exhibit D April 2010 (3)" xfId="180"/>
    <cellStyle name="_AURORA WIP_PCA 9 -  Exhibit D April 2010 (3) 2" xfId="181"/>
    <cellStyle name="_AURORA WIP_Reconciliation" xfId="182"/>
    <cellStyle name="_AURORA WIP_Wind Integration 10GRC" xfId="183"/>
    <cellStyle name="_AURORA WIP_Wind Integration 10GRC 2" xfId="184"/>
    <cellStyle name="_Book1" xfId="185"/>
    <cellStyle name="_Book1 (2)" xfId="186"/>
    <cellStyle name="_Book1 (2) 2" xfId="187"/>
    <cellStyle name="_Book1 (2) 2 2" xfId="188"/>
    <cellStyle name="_Book1 (2) 2 2 2" xfId="5088"/>
    <cellStyle name="_Book1 (2) 2 3" xfId="5089"/>
    <cellStyle name="_Book1 (2) 3" xfId="189"/>
    <cellStyle name="_Book1 (2) 3 2" xfId="3571"/>
    <cellStyle name="_Book1 (2) 3 2 2" xfId="5090"/>
    <cellStyle name="_Book1 (2) 3 3" xfId="3572"/>
    <cellStyle name="_Book1 (2) 3 3 2" xfId="5091"/>
    <cellStyle name="_Book1 (2) 3 4" xfId="3573"/>
    <cellStyle name="_Book1 (2) 3 4 2" xfId="5092"/>
    <cellStyle name="_Book1 (2) 4" xfId="190"/>
    <cellStyle name="_Book1 (2) 4 2" xfId="3260"/>
    <cellStyle name="_Book1 (2) 5" xfId="5093"/>
    <cellStyle name="_Book1 (2)_04 07E Wild Horse Wind Expansion (C) (2)" xfId="191"/>
    <cellStyle name="_Book1 (2)_04 07E Wild Horse Wind Expansion (C) (2) 2" xfId="192"/>
    <cellStyle name="_Book1 (2)_04 07E Wild Horse Wind Expansion (C) (2) 2 2" xfId="5094"/>
    <cellStyle name="_Book1 (2)_04 07E Wild Horse Wind Expansion (C) (2) 3" xfId="5095"/>
    <cellStyle name="_Book1 (2)_04 07E Wild Horse Wind Expansion (C) (2)_Adj Bench DR 3 for Initial Briefs (Electric)" xfId="193"/>
    <cellStyle name="_Book1 (2)_04 07E Wild Horse Wind Expansion (C) (2)_Adj Bench DR 3 for Initial Briefs (Electric) 2" xfId="194"/>
    <cellStyle name="_Book1 (2)_04 07E Wild Horse Wind Expansion (C) (2)_Adj Bench DR 3 for Initial Briefs (Electric) 2 2" xfId="5096"/>
    <cellStyle name="_Book1 (2)_04 07E Wild Horse Wind Expansion (C) (2)_Adj Bench DR 3 for Initial Briefs (Electric) 3" xfId="5097"/>
    <cellStyle name="_Book1 (2)_04 07E Wild Horse Wind Expansion (C) (2)_Electric Rev Req Model (2009 GRC) " xfId="195"/>
    <cellStyle name="_Book1 (2)_04 07E Wild Horse Wind Expansion (C) (2)_Electric Rev Req Model (2009 GRC)  2" xfId="196"/>
    <cellStyle name="_Book1 (2)_04 07E Wild Horse Wind Expansion (C) (2)_Electric Rev Req Model (2009 GRC)  2 2" xfId="5098"/>
    <cellStyle name="_Book1 (2)_04 07E Wild Horse Wind Expansion (C) (2)_Electric Rev Req Model (2009 GRC)  3" xfId="5099"/>
    <cellStyle name="_Book1 (2)_04 07E Wild Horse Wind Expansion (C) (2)_Electric Rev Req Model (2009 GRC) Rebuttal" xfId="197"/>
    <cellStyle name="_Book1 (2)_04 07E Wild Horse Wind Expansion (C) (2)_Electric Rev Req Model (2009 GRC) Rebuttal 2" xfId="3574"/>
    <cellStyle name="_Book1 (2)_04 07E Wild Horse Wind Expansion (C) (2)_Electric Rev Req Model (2009 GRC) Rebuttal 2 2" xfId="5100"/>
    <cellStyle name="_Book1 (2)_04 07E Wild Horse Wind Expansion (C) (2)_Electric Rev Req Model (2009 GRC) Rebuttal 3" xfId="5101"/>
    <cellStyle name="_Book1 (2)_04 07E Wild Horse Wind Expansion (C) (2)_Electric Rev Req Model (2009 GRC) Rebuttal REmoval of New  WH Solar AdjustMI" xfId="198"/>
    <cellStyle name="_Book1 (2)_04 07E Wild Horse Wind Expansion (C) (2)_Electric Rev Req Model (2009 GRC) Rebuttal REmoval of New  WH Solar AdjustMI 2" xfId="199"/>
    <cellStyle name="_Book1 (2)_04 07E Wild Horse Wind Expansion (C) (2)_Electric Rev Req Model (2009 GRC) Rebuttal REmoval of New  WH Solar AdjustMI 2 2" xfId="5102"/>
    <cellStyle name="_Book1 (2)_04 07E Wild Horse Wind Expansion (C) (2)_Electric Rev Req Model (2009 GRC) Rebuttal REmoval of New  WH Solar AdjustMI 3" xfId="5103"/>
    <cellStyle name="_Book1 (2)_04 07E Wild Horse Wind Expansion (C) (2)_Electric Rev Req Model (2009 GRC) Revised 01-18-2010" xfId="200"/>
    <cellStyle name="_Book1 (2)_04 07E Wild Horse Wind Expansion (C) (2)_Electric Rev Req Model (2009 GRC) Revised 01-18-2010 2" xfId="201"/>
    <cellStyle name="_Book1 (2)_04 07E Wild Horse Wind Expansion (C) (2)_Electric Rev Req Model (2009 GRC) Revised 01-18-2010 2 2" xfId="5104"/>
    <cellStyle name="_Book1 (2)_04 07E Wild Horse Wind Expansion (C) (2)_Electric Rev Req Model (2009 GRC) Revised 01-18-2010 3" xfId="5105"/>
    <cellStyle name="_Book1 (2)_04 07E Wild Horse Wind Expansion (C) (2)_Final Order Electric EXHIBIT A-1" xfId="202"/>
    <cellStyle name="_Book1 (2)_04 07E Wild Horse Wind Expansion (C) (2)_Final Order Electric EXHIBIT A-1 2" xfId="3575"/>
    <cellStyle name="_Book1 (2)_04 07E Wild Horse Wind Expansion (C) (2)_Final Order Electric EXHIBIT A-1 2 2" xfId="5106"/>
    <cellStyle name="_Book1 (2)_04 07E Wild Horse Wind Expansion (C) (2)_Final Order Electric EXHIBIT A-1 3" xfId="5107"/>
    <cellStyle name="_Book1 (2)_04 07E Wild Horse Wind Expansion (C) (2)_TENASKA REGULATORY ASSET" xfId="203"/>
    <cellStyle name="_Book1 (2)_04 07E Wild Horse Wind Expansion (C) (2)_TENASKA REGULATORY ASSET 2" xfId="3576"/>
    <cellStyle name="_Book1 (2)_04 07E Wild Horse Wind Expansion (C) (2)_TENASKA REGULATORY ASSET 2 2" xfId="5108"/>
    <cellStyle name="_Book1 (2)_04 07E Wild Horse Wind Expansion (C) (2)_TENASKA REGULATORY ASSET 3" xfId="5109"/>
    <cellStyle name="_Book1 (2)_16.37E Wild Horse Expansion DeferralRevwrkingfile SF" xfId="204"/>
    <cellStyle name="_Book1 (2)_16.37E Wild Horse Expansion DeferralRevwrkingfile SF 2" xfId="205"/>
    <cellStyle name="_Book1 (2)_16.37E Wild Horse Expansion DeferralRevwrkingfile SF 2 2" xfId="5110"/>
    <cellStyle name="_Book1 (2)_16.37E Wild Horse Expansion DeferralRevwrkingfile SF 3" xfId="5111"/>
    <cellStyle name="_Book1 (2)_2009 GRC Compl Filing - Exhibit D" xfId="206"/>
    <cellStyle name="_Book1 (2)_2009 GRC Compl Filing - Exhibit D 2" xfId="207"/>
    <cellStyle name="_Book1 (2)_4 31 Regulatory Assets and Liabilities  7 06- Exhibit D" xfId="208"/>
    <cellStyle name="_Book1 (2)_4 31 Regulatory Assets and Liabilities  7 06- Exhibit D 2" xfId="209"/>
    <cellStyle name="_Book1 (2)_4 31 Regulatory Assets and Liabilities  7 06- Exhibit D 2 2" xfId="5112"/>
    <cellStyle name="_Book1 (2)_4 31 Regulatory Assets and Liabilities  7 06- Exhibit D 3" xfId="5113"/>
    <cellStyle name="_Book1 (2)_4 31 Regulatory Assets and Liabilities  7 06- Exhibit D_NIM Summary" xfId="210"/>
    <cellStyle name="_Book1 (2)_4 31 Regulatory Assets and Liabilities  7 06- Exhibit D_NIM Summary 2" xfId="211"/>
    <cellStyle name="_Book1 (2)_4 32 Regulatory Assets and Liabilities  7 06- Exhibit D" xfId="212"/>
    <cellStyle name="_Book1 (2)_4 32 Regulatory Assets and Liabilities  7 06- Exhibit D 2" xfId="213"/>
    <cellStyle name="_Book1 (2)_4 32 Regulatory Assets and Liabilities  7 06- Exhibit D 2 2" xfId="5114"/>
    <cellStyle name="_Book1 (2)_4 32 Regulatory Assets and Liabilities  7 06- Exhibit D 3" xfId="5115"/>
    <cellStyle name="_Book1 (2)_4 32 Regulatory Assets and Liabilities  7 06- Exhibit D_NIM Summary" xfId="214"/>
    <cellStyle name="_Book1 (2)_4 32 Regulatory Assets and Liabilities  7 06- Exhibit D_NIM Summary 2" xfId="215"/>
    <cellStyle name="_Book1 (2)_AURORA Total New" xfId="216"/>
    <cellStyle name="_Book1 (2)_AURORA Total New 2" xfId="217"/>
    <cellStyle name="_Book1 (2)_Book2" xfId="218"/>
    <cellStyle name="_Book1 (2)_Book2 2" xfId="219"/>
    <cellStyle name="_Book1 (2)_Book2 2 2" xfId="5116"/>
    <cellStyle name="_Book1 (2)_Book2 3" xfId="5117"/>
    <cellStyle name="_Book1 (2)_Book2_Adj Bench DR 3 for Initial Briefs (Electric)" xfId="220"/>
    <cellStyle name="_Book1 (2)_Book2_Adj Bench DR 3 for Initial Briefs (Electric) 2" xfId="221"/>
    <cellStyle name="_Book1 (2)_Book2_Adj Bench DR 3 for Initial Briefs (Electric) 2 2" xfId="5118"/>
    <cellStyle name="_Book1 (2)_Book2_Adj Bench DR 3 for Initial Briefs (Electric) 3" xfId="5119"/>
    <cellStyle name="_Book1 (2)_Book2_Electric Rev Req Model (2009 GRC) Rebuttal" xfId="222"/>
    <cellStyle name="_Book1 (2)_Book2_Electric Rev Req Model (2009 GRC) Rebuttal 2" xfId="3577"/>
    <cellStyle name="_Book1 (2)_Book2_Electric Rev Req Model (2009 GRC) Rebuttal 2 2" xfId="5120"/>
    <cellStyle name="_Book1 (2)_Book2_Electric Rev Req Model (2009 GRC) Rebuttal 3" xfId="5121"/>
    <cellStyle name="_Book1 (2)_Book2_Electric Rev Req Model (2009 GRC) Rebuttal REmoval of New  WH Solar AdjustMI" xfId="223"/>
    <cellStyle name="_Book1 (2)_Book2_Electric Rev Req Model (2009 GRC) Rebuttal REmoval of New  WH Solar AdjustMI 2" xfId="224"/>
    <cellStyle name="_Book1 (2)_Book2_Electric Rev Req Model (2009 GRC) Rebuttal REmoval of New  WH Solar AdjustMI 2 2" xfId="5122"/>
    <cellStyle name="_Book1 (2)_Book2_Electric Rev Req Model (2009 GRC) Rebuttal REmoval of New  WH Solar AdjustMI 3" xfId="5123"/>
    <cellStyle name="_Book1 (2)_Book2_Electric Rev Req Model (2009 GRC) Revised 01-18-2010" xfId="225"/>
    <cellStyle name="_Book1 (2)_Book2_Electric Rev Req Model (2009 GRC) Revised 01-18-2010 2" xfId="226"/>
    <cellStyle name="_Book1 (2)_Book2_Electric Rev Req Model (2009 GRC) Revised 01-18-2010 2 2" xfId="5124"/>
    <cellStyle name="_Book1 (2)_Book2_Electric Rev Req Model (2009 GRC) Revised 01-18-2010 3" xfId="5125"/>
    <cellStyle name="_Book1 (2)_Book2_Final Order Electric EXHIBIT A-1" xfId="227"/>
    <cellStyle name="_Book1 (2)_Book2_Final Order Electric EXHIBIT A-1 2" xfId="3578"/>
    <cellStyle name="_Book1 (2)_Book2_Final Order Electric EXHIBIT A-1 2 2" xfId="5126"/>
    <cellStyle name="_Book1 (2)_Book2_Final Order Electric EXHIBIT A-1 3" xfId="5127"/>
    <cellStyle name="_Book1 (2)_Book4" xfId="228"/>
    <cellStyle name="_Book1 (2)_Book4 2" xfId="229"/>
    <cellStyle name="_Book1 (2)_Book4 2 2" xfId="5128"/>
    <cellStyle name="_Book1 (2)_Book4 3" xfId="5129"/>
    <cellStyle name="_Book1 (2)_Book9" xfId="230"/>
    <cellStyle name="_Book1 (2)_Book9 2" xfId="231"/>
    <cellStyle name="_Book1 (2)_Book9 2 2" xfId="5130"/>
    <cellStyle name="_Book1 (2)_Book9 3" xfId="5131"/>
    <cellStyle name="_Book1 (2)_INPUTS" xfId="3579"/>
    <cellStyle name="_Book1 (2)_INPUTS 2" xfId="3580"/>
    <cellStyle name="_Book1 (2)_INPUTS 2 2" xfId="5132"/>
    <cellStyle name="_Book1 (2)_INPUTS 3" xfId="5133"/>
    <cellStyle name="_Book1 (2)_NIM Summary" xfId="232"/>
    <cellStyle name="_Book1 (2)_NIM Summary 09GRC" xfId="233"/>
    <cellStyle name="_Book1 (2)_NIM Summary 09GRC 2" xfId="234"/>
    <cellStyle name="_Book1 (2)_NIM Summary 2" xfId="235"/>
    <cellStyle name="_Book1 (2)_NIM Summary 3" xfId="236"/>
    <cellStyle name="_Book1 (2)_NIM Summary 4" xfId="3261"/>
    <cellStyle name="_Book1 (2)_NIM Summary 5" xfId="3262"/>
    <cellStyle name="_Book1 (2)_NIM Summary 6" xfId="3263"/>
    <cellStyle name="_Book1 (2)_NIM Summary 7" xfId="3264"/>
    <cellStyle name="_Book1 (2)_NIM Summary 8" xfId="3265"/>
    <cellStyle name="_Book1 (2)_NIM Summary 9" xfId="3266"/>
    <cellStyle name="_Book1 (2)_PCA 9 -  Exhibit D April 2010 (3)" xfId="237"/>
    <cellStyle name="_Book1 (2)_PCA 9 -  Exhibit D April 2010 (3) 2" xfId="238"/>
    <cellStyle name="_Book1 (2)_Power Costs - Comparison bx Rbtl-Staff-Jt-PC" xfId="239"/>
    <cellStyle name="_Book1 (2)_Power Costs - Comparison bx Rbtl-Staff-Jt-PC 2" xfId="240"/>
    <cellStyle name="_Book1 (2)_Power Costs - Comparison bx Rbtl-Staff-Jt-PC 2 2" xfId="5134"/>
    <cellStyle name="_Book1 (2)_Power Costs - Comparison bx Rbtl-Staff-Jt-PC 3" xfId="5135"/>
    <cellStyle name="_Book1 (2)_Power Costs - Comparison bx Rbtl-Staff-Jt-PC_Adj Bench DR 3 for Initial Briefs (Electric)" xfId="241"/>
    <cellStyle name="_Book1 (2)_Power Costs - Comparison bx Rbtl-Staff-Jt-PC_Adj Bench DR 3 for Initial Briefs (Electric) 2" xfId="242"/>
    <cellStyle name="_Book1 (2)_Power Costs - Comparison bx Rbtl-Staff-Jt-PC_Adj Bench DR 3 for Initial Briefs (Electric) 2 2" xfId="5136"/>
    <cellStyle name="_Book1 (2)_Power Costs - Comparison bx Rbtl-Staff-Jt-PC_Adj Bench DR 3 for Initial Briefs (Electric) 3" xfId="5137"/>
    <cellStyle name="_Book1 (2)_Power Costs - Comparison bx Rbtl-Staff-Jt-PC_Electric Rev Req Model (2009 GRC) Rebuttal" xfId="243"/>
    <cellStyle name="_Book1 (2)_Power Costs - Comparison bx Rbtl-Staff-Jt-PC_Electric Rev Req Model (2009 GRC) Rebuttal 2" xfId="3581"/>
    <cellStyle name="_Book1 (2)_Power Costs - Comparison bx Rbtl-Staff-Jt-PC_Electric Rev Req Model (2009 GRC) Rebuttal 2 2" xfId="5138"/>
    <cellStyle name="_Book1 (2)_Power Costs - Comparison bx Rbtl-Staff-Jt-PC_Electric Rev Req Model (2009 GRC) Rebuttal 3" xfId="5139"/>
    <cellStyle name="_Book1 (2)_Power Costs - Comparison bx Rbtl-Staff-Jt-PC_Electric Rev Req Model (2009 GRC) Rebuttal REmoval of New  WH Solar AdjustMI" xfId="244"/>
    <cellStyle name="_Book1 (2)_Power Costs - Comparison bx Rbtl-Staff-Jt-PC_Electric Rev Req Model (2009 GRC) Rebuttal REmoval of New  WH Solar AdjustMI 2" xfId="245"/>
    <cellStyle name="_Book1 (2)_Power Costs - Comparison bx Rbtl-Staff-Jt-PC_Electric Rev Req Model (2009 GRC) Rebuttal REmoval of New  WH Solar AdjustMI 2 2" xfId="5140"/>
    <cellStyle name="_Book1 (2)_Power Costs - Comparison bx Rbtl-Staff-Jt-PC_Electric Rev Req Model (2009 GRC) Rebuttal REmoval of New  WH Solar AdjustMI 3" xfId="5141"/>
    <cellStyle name="_Book1 (2)_Power Costs - Comparison bx Rbtl-Staff-Jt-PC_Electric Rev Req Model (2009 GRC) Revised 01-18-2010" xfId="246"/>
    <cellStyle name="_Book1 (2)_Power Costs - Comparison bx Rbtl-Staff-Jt-PC_Electric Rev Req Model (2009 GRC) Revised 01-18-2010 2" xfId="247"/>
    <cellStyle name="_Book1 (2)_Power Costs - Comparison bx Rbtl-Staff-Jt-PC_Electric Rev Req Model (2009 GRC) Revised 01-18-2010 2 2" xfId="5142"/>
    <cellStyle name="_Book1 (2)_Power Costs - Comparison bx Rbtl-Staff-Jt-PC_Electric Rev Req Model (2009 GRC) Revised 01-18-2010 3" xfId="5143"/>
    <cellStyle name="_Book1 (2)_Power Costs - Comparison bx Rbtl-Staff-Jt-PC_Final Order Electric EXHIBIT A-1" xfId="248"/>
    <cellStyle name="_Book1 (2)_Power Costs - Comparison bx Rbtl-Staff-Jt-PC_Final Order Electric EXHIBIT A-1 2" xfId="3582"/>
    <cellStyle name="_Book1 (2)_Power Costs - Comparison bx Rbtl-Staff-Jt-PC_Final Order Electric EXHIBIT A-1 2 2" xfId="5144"/>
    <cellStyle name="_Book1 (2)_Power Costs - Comparison bx Rbtl-Staff-Jt-PC_Final Order Electric EXHIBIT A-1 3" xfId="5145"/>
    <cellStyle name="_Book1 (2)_Production Adj 4.37" xfId="3583"/>
    <cellStyle name="_Book1 (2)_Production Adj 4.37 2" xfId="3584"/>
    <cellStyle name="_Book1 (2)_Production Adj 4.37 2 2" xfId="5146"/>
    <cellStyle name="_Book1 (2)_Production Adj 4.37 3" xfId="5147"/>
    <cellStyle name="_Book1 (2)_Purchased Power Adj 4.03" xfId="3585"/>
    <cellStyle name="_Book1 (2)_Purchased Power Adj 4.03 2" xfId="3586"/>
    <cellStyle name="_Book1 (2)_Purchased Power Adj 4.03 2 2" xfId="5148"/>
    <cellStyle name="_Book1 (2)_Purchased Power Adj 4.03 3" xfId="5149"/>
    <cellStyle name="_Book1 (2)_Rebuttal Power Costs" xfId="249"/>
    <cellStyle name="_Book1 (2)_Rebuttal Power Costs 2" xfId="250"/>
    <cellStyle name="_Book1 (2)_Rebuttal Power Costs 2 2" xfId="5150"/>
    <cellStyle name="_Book1 (2)_Rebuttal Power Costs 3" xfId="5151"/>
    <cellStyle name="_Book1 (2)_Rebuttal Power Costs_Adj Bench DR 3 for Initial Briefs (Electric)" xfId="251"/>
    <cellStyle name="_Book1 (2)_Rebuttal Power Costs_Adj Bench DR 3 for Initial Briefs (Electric) 2" xfId="252"/>
    <cellStyle name="_Book1 (2)_Rebuttal Power Costs_Adj Bench DR 3 for Initial Briefs (Electric) 2 2" xfId="5152"/>
    <cellStyle name="_Book1 (2)_Rebuttal Power Costs_Adj Bench DR 3 for Initial Briefs (Electric) 3" xfId="5153"/>
    <cellStyle name="_Book1 (2)_Rebuttal Power Costs_Electric Rev Req Model (2009 GRC) Rebuttal" xfId="253"/>
    <cellStyle name="_Book1 (2)_Rebuttal Power Costs_Electric Rev Req Model (2009 GRC) Rebuttal 2" xfId="3587"/>
    <cellStyle name="_Book1 (2)_Rebuttal Power Costs_Electric Rev Req Model (2009 GRC) Rebuttal 2 2" xfId="5154"/>
    <cellStyle name="_Book1 (2)_Rebuttal Power Costs_Electric Rev Req Model (2009 GRC) Rebuttal 3" xfId="5155"/>
    <cellStyle name="_Book1 (2)_Rebuttal Power Costs_Electric Rev Req Model (2009 GRC) Rebuttal REmoval of New  WH Solar AdjustMI" xfId="254"/>
    <cellStyle name="_Book1 (2)_Rebuttal Power Costs_Electric Rev Req Model (2009 GRC) Rebuttal REmoval of New  WH Solar AdjustMI 2" xfId="255"/>
    <cellStyle name="_Book1 (2)_Rebuttal Power Costs_Electric Rev Req Model (2009 GRC) Rebuttal REmoval of New  WH Solar AdjustMI 2 2" xfId="5156"/>
    <cellStyle name="_Book1 (2)_Rebuttal Power Costs_Electric Rev Req Model (2009 GRC) Rebuttal REmoval of New  WH Solar AdjustMI 3" xfId="5157"/>
    <cellStyle name="_Book1 (2)_Rebuttal Power Costs_Electric Rev Req Model (2009 GRC) Revised 01-18-2010" xfId="256"/>
    <cellStyle name="_Book1 (2)_Rebuttal Power Costs_Electric Rev Req Model (2009 GRC) Revised 01-18-2010 2" xfId="257"/>
    <cellStyle name="_Book1 (2)_Rebuttal Power Costs_Electric Rev Req Model (2009 GRC) Revised 01-18-2010 2 2" xfId="5158"/>
    <cellStyle name="_Book1 (2)_Rebuttal Power Costs_Electric Rev Req Model (2009 GRC) Revised 01-18-2010 3" xfId="5159"/>
    <cellStyle name="_Book1 (2)_Rebuttal Power Costs_Final Order Electric EXHIBIT A-1" xfId="258"/>
    <cellStyle name="_Book1 (2)_Rebuttal Power Costs_Final Order Electric EXHIBIT A-1 2" xfId="3588"/>
    <cellStyle name="_Book1 (2)_Rebuttal Power Costs_Final Order Electric EXHIBIT A-1 2 2" xfId="5160"/>
    <cellStyle name="_Book1 (2)_Rebuttal Power Costs_Final Order Electric EXHIBIT A-1 3" xfId="5161"/>
    <cellStyle name="_Book1 (2)_ROR &amp; CONV FACTOR" xfId="3589"/>
    <cellStyle name="_Book1 (2)_ROR &amp; CONV FACTOR 2" xfId="3590"/>
    <cellStyle name="_Book1 (2)_ROR &amp; CONV FACTOR 2 2" xfId="5162"/>
    <cellStyle name="_Book1 (2)_ROR &amp; CONV FACTOR 3" xfId="5163"/>
    <cellStyle name="_Book1 (2)_ROR 5.02" xfId="3591"/>
    <cellStyle name="_Book1 (2)_ROR 5.02 2" xfId="3592"/>
    <cellStyle name="_Book1 (2)_ROR 5.02 2 2" xfId="5164"/>
    <cellStyle name="_Book1 (2)_ROR 5.02 3" xfId="5165"/>
    <cellStyle name="_Book1 (2)_Wind Integration 10GRC" xfId="259"/>
    <cellStyle name="_Book1 (2)_Wind Integration 10GRC 2" xfId="260"/>
    <cellStyle name="_Book1 10" xfId="3593"/>
    <cellStyle name="_Book1 10 2" xfId="5166"/>
    <cellStyle name="_Book1 11" xfId="5167"/>
    <cellStyle name="_Book1 2" xfId="261"/>
    <cellStyle name="_Book1 2 2" xfId="262"/>
    <cellStyle name="_Book1 2 2 2" xfId="5168"/>
    <cellStyle name="_Book1 2 3" xfId="5169"/>
    <cellStyle name="_Book1 3" xfId="263"/>
    <cellStyle name="_Book1 3 2" xfId="264"/>
    <cellStyle name="_Book1 4" xfId="265"/>
    <cellStyle name="_Book1 4 2" xfId="266"/>
    <cellStyle name="_Book1 5" xfId="267"/>
    <cellStyle name="_Book1 5 2" xfId="268"/>
    <cellStyle name="_Book1 6" xfId="269"/>
    <cellStyle name="_Book1 6 2" xfId="5170"/>
    <cellStyle name="_Book1 7" xfId="270"/>
    <cellStyle name="_Book1 7 2" xfId="5171"/>
    <cellStyle name="_Book1 8" xfId="271"/>
    <cellStyle name="_Book1 8 2" xfId="3267"/>
    <cellStyle name="_Book1 9" xfId="3594"/>
    <cellStyle name="_Book1 9 2" xfId="5172"/>
    <cellStyle name="_Book1_(C) WHE Proforma with ITC cash grant 10 Yr Amort_for deferral_102809" xfId="272"/>
    <cellStyle name="_Book1_(C) WHE Proforma with ITC cash grant 10 Yr Amort_for deferral_102809 2" xfId="273"/>
    <cellStyle name="_Book1_(C) WHE Proforma with ITC cash grant 10 Yr Amort_for deferral_102809 2 2" xfId="5173"/>
    <cellStyle name="_Book1_(C) WHE Proforma with ITC cash grant 10 Yr Amort_for deferral_102809 3" xfId="5174"/>
    <cellStyle name="_Book1_(C) WHE Proforma with ITC cash grant 10 Yr Amort_for deferral_102809_16.07E Wild Horse Wind Expansionwrkingfile" xfId="274"/>
    <cellStyle name="_Book1_(C) WHE Proforma with ITC cash grant 10 Yr Amort_for deferral_102809_16.07E Wild Horse Wind Expansionwrkingfile 2" xfId="275"/>
    <cellStyle name="_Book1_(C) WHE Proforma with ITC cash grant 10 Yr Amort_for deferral_102809_16.07E Wild Horse Wind Expansionwrkingfile 2 2" xfId="5175"/>
    <cellStyle name="_Book1_(C) WHE Proforma with ITC cash grant 10 Yr Amort_for deferral_102809_16.07E Wild Horse Wind Expansionwrkingfile 3" xfId="5176"/>
    <cellStyle name="_Book1_(C) WHE Proforma with ITC cash grant 10 Yr Amort_for deferral_102809_16.07E Wild Horse Wind Expansionwrkingfile SF" xfId="276"/>
    <cellStyle name="_Book1_(C) WHE Proforma with ITC cash grant 10 Yr Amort_for deferral_102809_16.07E Wild Horse Wind Expansionwrkingfile SF 2" xfId="277"/>
    <cellStyle name="_Book1_(C) WHE Proforma with ITC cash grant 10 Yr Amort_for deferral_102809_16.07E Wild Horse Wind Expansionwrkingfile SF 2 2" xfId="5177"/>
    <cellStyle name="_Book1_(C) WHE Proforma with ITC cash grant 10 Yr Amort_for deferral_102809_16.07E Wild Horse Wind Expansionwrkingfile SF 3" xfId="5178"/>
    <cellStyle name="_Book1_(C) WHE Proforma with ITC cash grant 10 Yr Amort_for deferral_102809_16.37E Wild Horse Expansion DeferralRevwrkingfile SF" xfId="278"/>
    <cellStyle name="_Book1_(C) WHE Proforma with ITC cash grant 10 Yr Amort_for deferral_102809_16.37E Wild Horse Expansion DeferralRevwrkingfile SF 2" xfId="279"/>
    <cellStyle name="_Book1_(C) WHE Proforma with ITC cash grant 10 Yr Amort_for deferral_102809_16.37E Wild Horse Expansion DeferralRevwrkingfile SF 2 2" xfId="5179"/>
    <cellStyle name="_Book1_(C) WHE Proforma with ITC cash grant 10 Yr Amort_for deferral_102809_16.37E Wild Horse Expansion DeferralRevwrkingfile SF 3" xfId="5180"/>
    <cellStyle name="_Book1_(C) WHE Proforma with ITC cash grant 10 Yr Amort_for rebuttal_120709" xfId="280"/>
    <cellStyle name="_Book1_(C) WHE Proforma with ITC cash grant 10 Yr Amort_for rebuttal_120709 2" xfId="281"/>
    <cellStyle name="_Book1_(C) WHE Proforma with ITC cash grant 10 Yr Amort_for rebuttal_120709 2 2" xfId="5181"/>
    <cellStyle name="_Book1_(C) WHE Proforma with ITC cash grant 10 Yr Amort_for rebuttal_120709 3" xfId="5182"/>
    <cellStyle name="_Book1_04.07E Wild Horse Wind Expansion" xfId="282"/>
    <cellStyle name="_Book1_04.07E Wild Horse Wind Expansion 2" xfId="283"/>
    <cellStyle name="_Book1_04.07E Wild Horse Wind Expansion 2 2" xfId="5183"/>
    <cellStyle name="_Book1_04.07E Wild Horse Wind Expansion 3" xfId="5184"/>
    <cellStyle name="_Book1_04.07E Wild Horse Wind Expansion_16.07E Wild Horse Wind Expansionwrkingfile" xfId="284"/>
    <cellStyle name="_Book1_04.07E Wild Horse Wind Expansion_16.07E Wild Horse Wind Expansionwrkingfile 2" xfId="285"/>
    <cellStyle name="_Book1_04.07E Wild Horse Wind Expansion_16.07E Wild Horse Wind Expansionwrkingfile 2 2" xfId="5185"/>
    <cellStyle name="_Book1_04.07E Wild Horse Wind Expansion_16.07E Wild Horse Wind Expansionwrkingfile 3" xfId="5186"/>
    <cellStyle name="_Book1_04.07E Wild Horse Wind Expansion_16.07E Wild Horse Wind Expansionwrkingfile SF" xfId="286"/>
    <cellStyle name="_Book1_04.07E Wild Horse Wind Expansion_16.07E Wild Horse Wind Expansionwrkingfile SF 2" xfId="287"/>
    <cellStyle name="_Book1_04.07E Wild Horse Wind Expansion_16.07E Wild Horse Wind Expansionwrkingfile SF 2 2" xfId="5187"/>
    <cellStyle name="_Book1_04.07E Wild Horse Wind Expansion_16.07E Wild Horse Wind Expansionwrkingfile SF 3" xfId="5188"/>
    <cellStyle name="_Book1_04.07E Wild Horse Wind Expansion_16.37E Wild Horse Expansion DeferralRevwrkingfile SF" xfId="288"/>
    <cellStyle name="_Book1_04.07E Wild Horse Wind Expansion_16.37E Wild Horse Expansion DeferralRevwrkingfile SF 2" xfId="289"/>
    <cellStyle name="_Book1_04.07E Wild Horse Wind Expansion_16.37E Wild Horse Expansion DeferralRevwrkingfile SF 2 2" xfId="5189"/>
    <cellStyle name="_Book1_04.07E Wild Horse Wind Expansion_16.37E Wild Horse Expansion DeferralRevwrkingfile SF 3" xfId="5190"/>
    <cellStyle name="_Book1_16.07E Wild Horse Wind Expansionwrkingfile" xfId="290"/>
    <cellStyle name="_Book1_16.07E Wild Horse Wind Expansionwrkingfile 2" xfId="291"/>
    <cellStyle name="_Book1_16.07E Wild Horse Wind Expansionwrkingfile 2 2" xfId="5191"/>
    <cellStyle name="_Book1_16.07E Wild Horse Wind Expansionwrkingfile 3" xfId="5192"/>
    <cellStyle name="_Book1_16.07E Wild Horse Wind Expansionwrkingfile SF" xfId="292"/>
    <cellStyle name="_Book1_16.07E Wild Horse Wind Expansionwrkingfile SF 2" xfId="293"/>
    <cellStyle name="_Book1_16.07E Wild Horse Wind Expansionwrkingfile SF 2 2" xfId="5193"/>
    <cellStyle name="_Book1_16.07E Wild Horse Wind Expansionwrkingfile SF 3" xfId="5194"/>
    <cellStyle name="_Book1_16.37E Wild Horse Expansion DeferralRevwrkingfile SF" xfId="294"/>
    <cellStyle name="_Book1_16.37E Wild Horse Expansion DeferralRevwrkingfile SF 2" xfId="295"/>
    <cellStyle name="_Book1_16.37E Wild Horse Expansion DeferralRevwrkingfile SF 2 2" xfId="5195"/>
    <cellStyle name="_Book1_16.37E Wild Horse Expansion DeferralRevwrkingfile SF 3" xfId="5196"/>
    <cellStyle name="_Book1_2009 GRC Compl Filing - Exhibit D" xfId="296"/>
    <cellStyle name="_Book1_2009 GRC Compl Filing - Exhibit D 2" xfId="297"/>
    <cellStyle name="_Book1_4 31 Regulatory Assets and Liabilities  7 06- Exhibit D" xfId="298"/>
    <cellStyle name="_Book1_4 31 Regulatory Assets and Liabilities  7 06- Exhibit D 2" xfId="299"/>
    <cellStyle name="_Book1_4 31 Regulatory Assets and Liabilities  7 06- Exhibit D 2 2" xfId="5197"/>
    <cellStyle name="_Book1_4 31 Regulatory Assets and Liabilities  7 06- Exhibit D 3" xfId="5198"/>
    <cellStyle name="_Book1_4 31 Regulatory Assets and Liabilities  7 06- Exhibit D_NIM Summary" xfId="300"/>
    <cellStyle name="_Book1_4 31 Regulatory Assets and Liabilities  7 06- Exhibit D_NIM Summary 2" xfId="301"/>
    <cellStyle name="_Book1_4 32 Regulatory Assets and Liabilities  7 06- Exhibit D" xfId="302"/>
    <cellStyle name="_Book1_4 32 Regulatory Assets and Liabilities  7 06- Exhibit D 2" xfId="303"/>
    <cellStyle name="_Book1_4 32 Regulatory Assets and Liabilities  7 06- Exhibit D 2 2" xfId="5199"/>
    <cellStyle name="_Book1_4 32 Regulatory Assets and Liabilities  7 06- Exhibit D 3" xfId="5200"/>
    <cellStyle name="_Book1_4 32 Regulatory Assets and Liabilities  7 06- Exhibit D_NIM Summary" xfId="304"/>
    <cellStyle name="_Book1_4 32 Regulatory Assets and Liabilities  7 06- Exhibit D_NIM Summary 2" xfId="305"/>
    <cellStyle name="_Book1_AURORA Total New" xfId="306"/>
    <cellStyle name="_Book1_AURORA Total New 2" xfId="307"/>
    <cellStyle name="_Book1_Book2" xfId="308"/>
    <cellStyle name="_Book1_Book2 2" xfId="309"/>
    <cellStyle name="_Book1_Book2 2 2" xfId="5201"/>
    <cellStyle name="_Book1_Book2 3" xfId="5202"/>
    <cellStyle name="_Book1_Book2_Adj Bench DR 3 for Initial Briefs (Electric)" xfId="310"/>
    <cellStyle name="_Book1_Book2_Adj Bench DR 3 for Initial Briefs (Electric) 2" xfId="311"/>
    <cellStyle name="_Book1_Book2_Adj Bench DR 3 for Initial Briefs (Electric) 2 2" xfId="5203"/>
    <cellStyle name="_Book1_Book2_Adj Bench DR 3 for Initial Briefs (Electric) 3" xfId="5204"/>
    <cellStyle name="_Book1_Book2_Electric Rev Req Model (2009 GRC) Rebuttal" xfId="312"/>
    <cellStyle name="_Book1_Book2_Electric Rev Req Model (2009 GRC) Rebuttal 2" xfId="3595"/>
    <cellStyle name="_Book1_Book2_Electric Rev Req Model (2009 GRC) Rebuttal 2 2" xfId="5205"/>
    <cellStyle name="_Book1_Book2_Electric Rev Req Model (2009 GRC) Rebuttal 3" xfId="5206"/>
    <cellStyle name="_Book1_Book2_Electric Rev Req Model (2009 GRC) Rebuttal REmoval of New  WH Solar AdjustMI" xfId="313"/>
    <cellStyle name="_Book1_Book2_Electric Rev Req Model (2009 GRC) Rebuttal REmoval of New  WH Solar AdjustMI 2" xfId="314"/>
    <cellStyle name="_Book1_Book2_Electric Rev Req Model (2009 GRC) Rebuttal REmoval of New  WH Solar AdjustMI 2 2" xfId="5207"/>
    <cellStyle name="_Book1_Book2_Electric Rev Req Model (2009 GRC) Rebuttal REmoval of New  WH Solar AdjustMI 3" xfId="5208"/>
    <cellStyle name="_Book1_Book2_Electric Rev Req Model (2009 GRC) Revised 01-18-2010" xfId="315"/>
    <cellStyle name="_Book1_Book2_Electric Rev Req Model (2009 GRC) Revised 01-18-2010 2" xfId="316"/>
    <cellStyle name="_Book1_Book2_Electric Rev Req Model (2009 GRC) Revised 01-18-2010 2 2" xfId="5209"/>
    <cellStyle name="_Book1_Book2_Electric Rev Req Model (2009 GRC) Revised 01-18-2010 3" xfId="5210"/>
    <cellStyle name="_Book1_Book2_Final Order Electric EXHIBIT A-1" xfId="317"/>
    <cellStyle name="_Book1_Book2_Final Order Electric EXHIBIT A-1 2" xfId="3596"/>
    <cellStyle name="_Book1_Book2_Final Order Electric EXHIBIT A-1 2 2" xfId="5211"/>
    <cellStyle name="_Book1_Book2_Final Order Electric EXHIBIT A-1 3" xfId="5212"/>
    <cellStyle name="_Book1_Book4" xfId="318"/>
    <cellStyle name="_Book1_Book4 2" xfId="319"/>
    <cellStyle name="_Book1_Book4 2 2" xfId="5213"/>
    <cellStyle name="_Book1_Book4 3" xfId="5214"/>
    <cellStyle name="_Book1_Book9" xfId="320"/>
    <cellStyle name="_Book1_Book9 2" xfId="321"/>
    <cellStyle name="_Book1_Book9 2 2" xfId="5215"/>
    <cellStyle name="_Book1_Book9 3" xfId="5216"/>
    <cellStyle name="_Book1_Electric COS Inputs" xfId="3597"/>
    <cellStyle name="_Book1_Electric COS Inputs 2" xfId="3598"/>
    <cellStyle name="_Book1_Electric COS Inputs 2 2" xfId="3599"/>
    <cellStyle name="_Book1_Electric COS Inputs 2 2 2" xfId="5217"/>
    <cellStyle name="_Book1_Electric COS Inputs 2 3" xfId="3600"/>
    <cellStyle name="_Book1_Electric COS Inputs 2 3 2" xfId="5218"/>
    <cellStyle name="_Book1_Electric COS Inputs 2 4" xfId="3601"/>
    <cellStyle name="_Book1_Electric COS Inputs 2 4 2" xfId="5219"/>
    <cellStyle name="_Book1_Electric COS Inputs 3" xfId="3602"/>
    <cellStyle name="_Book1_Electric COS Inputs 3 2" xfId="5220"/>
    <cellStyle name="_Book1_Electric COS Inputs 4" xfId="3603"/>
    <cellStyle name="_Book1_Electric COS Inputs 4 2" xfId="5221"/>
    <cellStyle name="_Book1_Electric COS Inputs 5" xfId="5222"/>
    <cellStyle name="_Book1_NIM Summary" xfId="322"/>
    <cellStyle name="_Book1_NIM Summary 09GRC" xfId="323"/>
    <cellStyle name="_Book1_NIM Summary 09GRC 2" xfId="324"/>
    <cellStyle name="_Book1_NIM Summary 2" xfId="325"/>
    <cellStyle name="_Book1_NIM Summary 3" xfId="326"/>
    <cellStyle name="_Book1_NIM Summary 4" xfId="3268"/>
    <cellStyle name="_Book1_NIM Summary 5" xfId="3269"/>
    <cellStyle name="_Book1_NIM Summary 6" xfId="3270"/>
    <cellStyle name="_Book1_NIM Summary 7" xfId="3271"/>
    <cellStyle name="_Book1_NIM Summary 8" xfId="3272"/>
    <cellStyle name="_Book1_NIM Summary 9" xfId="3273"/>
    <cellStyle name="_Book1_PCA 9 -  Exhibit D April 2010 (3)" xfId="327"/>
    <cellStyle name="_Book1_PCA 9 -  Exhibit D April 2010 (3) 2" xfId="328"/>
    <cellStyle name="_Book1_Power Costs - Comparison bx Rbtl-Staff-Jt-PC" xfId="329"/>
    <cellStyle name="_Book1_Power Costs - Comparison bx Rbtl-Staff-Jt-PC 2" xfId="330"/>
    <cellStyle name="_Book1_Power Costs - Comparison bx Rbtl-Staff-Jt-PC 2 2" xfId="5223"/>
    <cellStyle name="_Book1_Power Costs - Comparison bx Rbtl-Staff-Jt-PC 3" xfId="5224"/>
    <cellStyle name="_Book1_Power Costs - Comparison bx Rbtl-Staff-Jt-PC_Adj Bench DR 3 for Initial Briefs (Electric)" xfId="331"/>
    <cellStyle name="_Book1_Power Costs - Comparison bx Rbtl-Staff-Jt-PC_Adj Bench DR 3 for Initial Briefs (Electric) 2" xfId="332"/>
    <cellStyle name="_Book1_Power Costs - Comparison bx Rbtl-Staff-Jt-PC_Adj Bench DR 3 for Initial Briefs (Electric) 2 2" xfId="5225"/>
    <cellStyle name="_Book1_Power Costs - Comparison bx Rbtl-Staff-Jt-PC_Adj Bench DR 3 for Initial Briefs (Electric) 3" xfId="5226"/>
    <cellStyle name="_Book1_Power Costs - Comparison bx Rbtl-Staff-Jt-PC_Electric Rev Req Model (2009 GRC) Rebuttal" xfId="333"/>
    <cellStyle name="_Book1_Power Costs - Comparison bx Rbtl-Staff-Jt-PC_Electric Rev Req Model (2009 GRC) Rebuttal 2" xfId="3604"/>
    <cellStyle name="_Book1_Power Costs - Comparison bx Rbtl-Staff-Jt-PC_Electric Rev Req Model (2009 GRC) Rebuttal 2 2" xfId="5227"/>
    <cellStyle name="_Book1_Power Costs - Comparison bx Rbtl-Staff-Jt-PC_Electric Rev Req Model (2009 GRC) Rebuttal 3" xfId="5228"/>
    <cellStyle name="_Book1_Power Costs - Comparison bx Rbtl-Staff-Jt-PC_Electric Rev Req Model (2009 GRC) Rebuttal REmoval of New  WH Solar AdjustMI" xfId="334"/>
    <cellStyle name="_Book1_Power Costs - Comparison bx Rbtl-Staff-Jt-PC_Electric Rev Req Model (2009 GRC) Rebuttal REmoval of New  WH Solar AdjustMI 2" xfId="335"/>
    <cellStyle name="_Book1_Power Costs - Comparison bx Rbtl-Staff-Jt-PC_Electric Rev Req Model (2009 GRC) Rebuttal REmoval of New  WH Solar AdjustMI 2 2" xfId="5229"/>
    <cellStyle name="_Book1_Power Costs - Comparison bx Rbtl-Staff-Jt-PC_Electric Rev Req Model (2009 GRC) Rebuttal REmoval of New  WH Solar AdjustMI 3" xfId="5230"/>
    <cellStyle name="_Book1_Power Costs - Comparison bx Rbtl-Staff-Jt-PC_Electric Rev Req Model (2009 GRC) Revised 01-18-2010" xfId="336"/>
    <cellStyle name="_Book1_Power Costs - Comparison bx Rbtl-Staff-Jt-PC_Electric Rev Req Model (2009 GRC) Revised 01-18-2010 2" xfId="337"/>
    <cellStyle name="_Book1_Power Costs - Comparison bx Rbtl-Staff-Jt-PC_Electric Rev Req Model (2009 GRC) Revised 01-18-2010 2 2" xfId="5231"/>
    <cellStyle name="_Book1_Power Costs - Comparison bx Rbtl-Staff-Jt-PC_Electric Rev Req Model (2009 GRC) Revised 01-18-2010 3" xfId="5232"/>
    <cellStyle name="_Book1_Power Costs - Comparison bx Rbtl-Staff-Jt-PC_Final Order Electric EXHIBIT A-1" xfId="338"/>
    <cellStyle name="_Book1_Power Costs - Comparison bx Rbtl-Staff-Jt-PC_Final Order Electric EXHIBIT A-1 2" xfId="3605"/>
    <cellStyle name="_Book1_Power Costs - Comparison bx Rbtl-Staff-Jt-PC_Final Order Electric EXHIBIT A-1 2 2" xfId="5233"/>
    <cellStyle name="_Book1_Power Costs - Comparison bx Rbtl-Staff-Jt-PC_Final Order Electric EXHIBIT A-1 3" xfId="5234"/>
    <cellStyle name="_Book1_Production Adj 4.37" xfId="3606"/>
    <cellStyle name="_Book1_Production Adj 4.37 2" xfId="3607"/>
    <cellStyle name="_Book1_Production Adj 4.37 2 2" xfId="5235"/>
    <cellStyle name="_Book1_Production Adj 4.37 3" xfId="5236"/>
    <cellStyle name="_Book1_Purchased Power Adj 4.03" xfId="3608"/>
    <cellStyle name="_Book1_Purchased Power Adj 4.03 2" xfId="3609"/>
    <cellStyle name="_Book1_Purchased Power Adj 4.03 2 2" xfId="5237"/>
    <cellStyle name="_Book1_Purchased Power Adj 4.03 3" xfId="5238"/>
    <cellStyle name="_Book1_Rebuttal Power Costs" xfId="339"/>
    <cellStyle name="_Book1_Rebuttal Power Costs 2" xfId="340"/>
    <cellStyle name="_Book1_Rebuttal Power Costs 2 2" xfId="5239"/>
    <cellStyle name="_Book1_Rebuttal Power Costs 3" xfId="5240"/>
    <cellStyle name="_Book1_Rebuttal Power Costs_Adj Bench DR 3 for Initial Briefs (Electric)" xfId="341"/>
    <cellStyle name="_Book1_Rebuttal Power Costs_Adj Bench DR 3 for Initial Briefs (Electric) 2" xfId="342"/>
    <cellStyle name="_Book1_Rebuttal Power Costs_Adj Bench DR 3 for Initial Briefs (Electric) 2 2" xfId="5241"/>
    <cellStyle name="_Book1_Rebuttal Power Costs_Adj Bench DR 3 for Initial Briefs (Electric) 3" xfId="5242"/>
    <cellStyle name="_Book1_Rebuttal Power Costs_Electric Rev Req Model (2009 GRC) Rebuttal" xfId="343"/>
    <cellStyle name="_Book1_Rebuttal Power Costs_Electric Rev Req Model (2009 GRC) Rebuttal 2" xfId="3610"/>
    <cellStyle name="_Book1_Rebuttal Power Costs_Electric Rev Req Model (2009 GRC) Rebuttal 2 2" xfId="5243"/>
    <cellStyle name="_Book1_Rebuttal Power Costs_Electric Rev Req Model (2009 GRC) Rebuttal 3" xfId="5244"/>
    <cellStyle name="_Book1_Rebuttal Power Costs_Electric Rev Req Model (2009 GRC) Rebuttal REmoval of New  WH Solar AdjustMI" xfId="344"/>
    <cellStyle name="_Book1_Rebuttal Power Costs_Electric Rev Req Model (2009 GRC) Rebuttal REmoval of New  WH Solar AdjustMI 2" xfId="345"/>
    <cellStyle name="_Book1_Rebuttal Power Costs_Electric Rev Req Model (2009 GRC) Rebuttal REmoval of New  WH Solar AdjustMI 2 2" xfId="5245"/>
    <cellStyle name="_Book1_Rebuttal Power Costs_Electric Rev Req Model (2009 GRC) Rebuttal REmoval of New  WH Solar AdjustMI 3" xfId="5246"/>
    <cellStyle name="_Book1_Rebuttal Power Costs_Electric Rev Req Model (2009 GRC) Revised 01-18-2010" xfId="346"/>
    <cellStyle name="_Book1_Rebuttal Power Costs_Electric Rev Req Model (2009 GRC) Revised 01-18-2010 2" xfId="347"/>
    <cellStyle name="_Book1_Rebuttal Power Costs_Electric Rev Req Model (2009 GRC) Revised 01-18-2010 2 2" xfId="5247"/>
    <cellStyle name="_Book1_Rebuttal Power Costs_Electric Rev Req Model (2009 GRC) Revised 01-18-2010 3" xfId="5248"/>
    <cellStyle name="_Book1_Rebuttal Power Costs_Final Order Electric EXHIBIT A-1" xfId="348"/>
    <cellStyle name="_Book1_Rebuttal Power Costs_Final Order Electric EXHIBIT A-1 2" xfId="3611"/>
    <cellStyle name="_Book1_Rebuttal Power Costs_Final Order Electric EXHIBIT A-1 2 2" xfId="5249"/>
    <cellStyle name="_Book1_Rebuttal Power Costs_Final Order Electric EXHIBIT A-1 3" xfId="5250"/>
    <cellStyle name="_Book1_ROR 5.02" xfId="3612"/>
    <cellStyle name="_Book1_ROR 5.02 2" xfId="3613"/>
    <cellStyle name="_Book1_ROR 5.02 2 2" xfId="5251"/>
    <cellStyle name="_Book1_ROR 5.02 3" xfId="5252"/>
    <cellStyle name="_Book1_Transmission Workbook for May BOD" xfId="349"/>
    <cellStyle name="_Book1_Transmission Workbook for May BOD 2" xfId="350"/>
    <cellStyle name="_Book1_Wind Integration 10GRC" xfId="351"/>
    <cellStyle name="_Book1_Wind Integration 10GRC 2" xfId="352"/>
    <cellStyle name="_Book2" xfId="353"/>
    <cellStyle name="_x0013__Book2" xfId="354"/>
    <cellStyle name="_Book2 10" xfId="3614"/>
    <cellStyle name="_x0013__Book2 10" xfId="5253"/>
    <cellStyle name="_Book2 10 2" xfId="5254"/>
    <cellStyle name="_Book2 11" xfId="3615"/>
    <cellStyle name="_Book2 11 2" xfId="5255"/>
    <cellStyle name="_Book2 12" xfId="3616"/>
    <cellStyle name="_Book2 12 2" xfId="5256"/>
    <cellStyle name="_Book2 13" xfId="3617"/>
    <cellStyle name="_Book2 13 2" xfId="5257"/>
    <cellStyle name="_Book2 14" xfId="3618"/>
    <cellStyle name="_Book2 14 2" xfId="5258"/>
    <cellStyle name="_Book2 15" xfId="3619"/>
    <cellStyle name="_Book2 15 2" xfId="5259"/>
    <cellStyle name="_Book2 16" xfId="3620"/>
    <cellStyle name="_Book2 16 2" xfId="5260"/>
    <cellStyle name="_Book2 17" xfId="3621"/>
    <cellStyle name="_Book2 17 2" xfId="5261"/>
    <cellStyle name="_Book2 18" xfId="3622"/>
    <cellStyle name="_Book2 18 2" xfId="5262"/>
    <cellStyle name="_Book2 19" xfId="5263"/>
    <cellStyle name="_Book2 2" xfId="355"/>
    <cellStyle name="_x0013__Book2 2" xfId="356"/>
    <cellStyle name="_Book2 2 10" xfId="5264"/>
    <cellStyle name="_Book2 2 2" xfId="357"/>
    <cellStyle name="_x0013__Book2 2 2" xfId="5265"/>
    <cellStyle name="_Book2 2 2 2" xfId="5266"/>
    <cellStyle name="_Book2 2 3" xfId="358"/>
    <cellStyle name="_Book2 2 3 2" xfId="5267"/>
    <cellStyle name="_Book2 2 4" xfId="3274"/>
    <cellStyle name="_Book2 2 4 2" xfId="5268"/>
    <cellStyle name="_Book2 2 5" xfId="3275"/>
    <cellStyle name="_Book2 2 5 2" xfId="5269"/>
    <cellStyle name="_Book2 2 6" xfId="3276"/>
    <cellStyle name="_Book2 2 6 2" xfId="5270"/>
    <cellStyle name="_Book2 2 7" xfId="3277"/>
    <cellStyle name="_Book2 2 7 2" xfId="5271"/>
    <cellStyle name="_Book2 2 8" xfId="3278"/>
    <cellStyle name="_Book2 2 8 2" xfId="5272"/>
    <cellStyle name="_Book2 2 9" xfId="3279"/>
    <cellStyle name="_Book2 2 9 2" xfId="5273"/>
    <cellStyle name="_Book2 20" xfId="5274"/>
    <cellStyle name="_Book2 21" xfId="5275"/>
    <cellStyle name="_Book2 22" xfId="5276"/>
    <cellStyle name="_Book2 23" xfId="5277"/>
    <cellStyle name="_Book2 24" xfId="5278"/>
    <cellStyle name="_Book2 25" xfId="5279"/>
    <cellStyle name="_Book2 26" xfId="5280"/>
    <cellStyle name="_Book2 27" xfId="5281"/>
    <cellStyle name="_Book2 28" xfId="5282"/>
    <cellStyle name="_Book2 29" xfId="5283"/>
    <cellStyle name="_Book2 3" xfId="359"/>
    <cellStyle name="_x0013__Book2 3" xfId="360"/>
    <cellStyle name="_Book2 3 10" xfId="3623"/>
    <cellStyle name="_Book2 3 10 2" xfId="5284"/>
    <cellStyle name="_Book2 3 11" xfId="3624"/>
    <cellStyle name="_Book2 3 11 2" xfId="5285"/>
    <cellStyle name="_Book2 3 12" xfId="3625"/>
    <cellStyle name="_Book2 3 12 2" xfId="5286"/>
    <cellStyle name="_Book2 3 13" xfId="3626"/>
    <cellStyle name="_Book2 3 13 2" xfId="5287"/>
    <cellStyle name="_Book2 3 14" xfId="3627"/>
    <cellStyle name="_Book2 3 14 2" xfId="5288"/>
    <cellStyle name="_Book2 3 15" xfId="3628"/>
    <cellStyle name="_Book2 3 15 2" xfId="5289"/>
    <cellStyle name="_Book2 3 16" xfId="3629"/>
    <cellStyle name="_Book2 3 16 2" xfId="5290"/>
    <cellStyle name="_Book2 3 17" xfId="3630"/>
    <cellStyle name="_Book2 3 17 2" xfId="5291"/>
    <cellStyle name="_Book2 3 18" xfId="3631"/>
    <cellStyle name="_Book2 3 18 2" xfId="5292"/>
    <cellStyle name="_Book2 3 19" xfId="3632"/>
    <cellStyle name="_Book2 3 19 2" xfId="5293"/>
    <cellStyle name="_Book2 3 2" xfId="3633"/>
    <cellStyle name="_x0013__Book2 3 2" xfId="5294"/>
    <cellStyle name="_Book2 3 2 2" xfId="5295"/>
    <cellStyle name="_Book2 3 20" xfId="3634"/>
    <cellStyle name="_Book2 3 20 2" xfId="5296"/>
    <cellStyle name="_Book2 3 21" xfId="3635"/>
    <cellStyle name="_Book2 3 21 2" xfId="5297"/>
    <cellStyle name="_Book2 3 22" xfId="3636"/>
    <cellStyle name="_Book2 3 23" xfId="3637"/>
    <cellStyle name="_Book2 3 24" xfId="3638"/>
    <cellStyle name="_Book2 3 25" xfId="3639"/>
    <cellStyle name="_Book2 3 26" xfId="3640"/>
    <cellStyle name="_Book2 3 27" xfId="3641"/>
    <cellStyle name="_Book2 3 28" xfId="3642"/>
    <cellStyle name="_Book2 3 29" xfId="3643"/>
    <cellStyle name="_Book2 3 3" xfId="3644"/>
    <cellStyle name="_Book2 3 3 2" xfId="5298"/>
    <cellStyle name="_Book2 3 30" xfId="3645"/>
    <cellStyle name="_Book2 3 31" xfId="3646"/>
    <cellStyle name="_Book2 3 32" xfId="5299"/>
    <cellStyle name="_Book2 3 33" xfId="5300"/>
    <cellStyle name="_Book2 3 34" xfId="5301"/>
    <cellStyle name="_Book2 3 35" xfId="5302"/>
    <cellStyle name="_Book2 3 36" xfId="5303"/>
    <cellStyle name="_Book2 3 37" xfId="5304"/>
    <cellStyle name="_Book2 3 38" xfId="5305"/>
    <cellStyle name="_Book2 3 39" xfId="5306"/>
    <cellStyle name="_Book2 3 4" xfId="3647"/>
    <cellStyle name="_Book2 3 4 2" xfId="5307"/>
    <cellStyle name="_Book2 3 40" xfId="5308"/>
    <cellStyle name="_Book2 3 41" xfId="5309"/>
    <cellStyle name="_Book2 3 42" xfId="5310"/>
    <cellStyle name="_Book2 3 43" xfId="5311"/>
    <cellStyle name="_Book2 3 44" xfId="5312"/>
    <cellStyle name="_Book2 3 45" xfId="5313"/>
    <cellStyle name="_Book2 3 5" xfId="3648"/>
    <cellStyle name="_Book2 3 5 2" xfId="5314"/>
    <cellStyle name="_Book2 3 6" xfId="3649"/>
    <cellStyle name="_Book2 3 6 2" xfId="5315"/>
    <cellStyle name="_Book2 3 7" xfId="3650"/>
    <cellStyle name="_Book2 3 7 2" xfId="5316"/>
    <cellStyle name="_Book2 3 8" xfId="3651"/>
    <cellStyle name="_Book2 3 8 2" xfId="5317"/>
    <cellStyle name="_Book2 3 9" xfId="3652"/>
    <cellStyle name="_Book2 3 9 2" xfId="5318"/>
    <cellStyle name="_Book2 30" xfId="5319"/>
    <cellStyle name="_Book2 31" xfId="5320"/>
    <cellStyle name="_Book2 32" xfId="5321"/>
    <cellStyle name="_Book2 33" xfId="5322"/>
    <cellStyle name="_Book2 4" xfId="361"/>
    <cellStyle name="_x0013__Book2 4" xfId="3126"/>
    <cellStyle name="_Book2 4 10" xfId="3653"/>
    <cellStyle name="_Book2 4 10 2" xfId="5323"/>
    <cellStyle name="_Book2 4 11" xfId="3654"/>
    <cellStyle name="_Book2 4 11 2" xfId="5324"/>
    <cellStyle name="_Book2 4 12" xfId="3655"/>
    <cellStyle name="_Book2 4 12 2" xfId="5325"/>
    <cellStyle name="_Book2 4 13" xfId="3656"/>
    <cellStyle name="_Book2 4 13 2" xfId="5326"/>
    <cellStyle name="_Book2 4 14" xfId="3657"/>
    <cellStyle name="_Book2 4 14 2" xfId="5327"/>
    <cellStyle name="_Book2 4 15" xfId="3658"/>
    <cellStyle name="_Book2 4 15 2" xfId="5328"/>
    <cellStyle name="_Book2 4 16" xfId="3659"/>
    <cellStyle name="_Book2 4 16 2" xfId="5329"/>
    <cellStyle name="_Book2 4 17" xfId="3660"/>
    <cellStyle name="_Book2 4 17 2" xfId="5330"/>
    <cellStyle name="_Book2 4 18" xfId="3661"/>
    <cellStyle name="_Book2 4 18 2" xfId="5331"/>
    <cellStyle name="_Book2 4 19" xfId="3662"/>
    <cellStyle name="_Book2 4 19 2" xfId="5332"/>
    <cellStyle name="_Book2 4 2" xfId="3280"/>
    <cellStyle name="_x0013__Book2 4 2" xfId="5333"/>
    <cellStyle name="_Book2 4 2 2" xfId="5334"/>
    <cellStyle name="_Book2 4 20" xfId="3663"/>
    <cellStyle name="_Book2 4 20 2" xfId="5335"/>
    <cellStyle name="_Book2 4 21" xfId="3664"/>
    <cellStyle name="_Book2 4 22" xfId="3665"/>
    <cellStyle name="_Book2 4 23" xfId="3666"/>
    <cellStyle name="_Book2 4 24" xfId="3667"/>
    <cellStyle name="_Book2 4 25" xfId="3668"/>
    <cellStyle name="_Book2 4 26" xfId="3669"/>
    <cellStyle name="_Book2 4 27" xfId="3670"/>
    <cellStyle name="_Book2 4 28" xfId="3671"/>
    <cellStyle name="_Book2 4 29" xfId="3672"/>
    <cellStyle name="_Book2 4 3" xfId="3281"/>
    <cellStyle name="_Book2 4 3 2" xfId="5336"/>
    <cellStyle name="_Book2 4 30" xfId="3673"/>
    <cellStyle name="_Book2 4 31" xfId="5337"/>
    <cellStyle name="_Book2 4 32" xfId="5338"/>
    <cellStyle name="_Book2 4 33" xfId="5339"/>
    <cellStyle name="_Book2 4 34" xfId="5340"/>
    <cellStyle name="_Book2 4 35" xfId="5341"/>
    <cellStyle name="_Book2 4 36" xfId="5342"/>
    <cellStyle name="_Book2 4 37" xfId="5343"/>
    <cellStyle name="_Book2 4 38" xfId="5344"/>
    <cellStyle name="_Book2 4 39" xfId="5345"/>
    <cellStyle name="_Book2 4 4" xfId="3282"/>
    <cellStyle name="_Book2 4 4 2" xfId="5346"/>
    <cellStyle name="_Book2 4 40" xfId="5347"/>
    <cellStyle name="_Book2 4 41" xfId="5348"/>
    <cellStyle name="_Book2 4 42" xfId="5349"/>
    <cellStyle name="_Book2 4 43" xfId="5350"/>
    <cellStyle name="_Book2 4 44" xfId="5351"/>
    <cellStyle name="_Book2 4 45" xfId="5352"/>
    <cellStyle name="_Book2 4 5" xfId="3283"/>
    <cellStyle name="_Book2 4 5 2" xfId="5353"/>
    <cellStyle name="_Book2 4 6" xfId="3284"/>
    <cellStyle name="_Book2 4 6 2" xfId="5354"/>
    <cellStyle name="_Book2 4 7" xfId="3285"/>
    <cellStyle name="_Book2 4 7 2" xfId="5355"/>
    <cellStyle name="_Book2 4 8" xfId="3674"/>
    <cellStyle name="_Book2 4 8 2" xfId="5356"/>
    <cellStyle name="_Book2 4 9" xfId="3675"/>
    <cellStyle name="_Book2 4 9 2" xfId="5357"/>
    <cellStyle name="_Book2 5" xfId="3676"/>
    <cellStyle name="_x0013__Book2 5" xfId="3286"/>
    <cellStyle name="_Book2 5 2" xfId="3677"/>
    <cellStyle name="_x0013__Book2 5 2" xfId="5358"/>
    <cellStyle name="_Book2 5 2 2" xfId="5359"/>
    <cellStyle name="_Book2 5 3" xfId="3678"/>
    <cellStyle name="_Book2 5 3 2" xfId="5360"/>
    <cellStyle name="_Book2 5 4" xfId="3679"/>
    <cellStyle name="_Book2 5 4 2" xfId="5361"/>
    <cellStyle name="_Book2 5 5" xfId="3680"/>
    <cellStyle name="_Book2 5 5 2" xfId="5362"/>
    <cellStyle name="_Book2 5 6" xfId="3681"/>
    <cellStyle name="_Book2 5 6 2" xfId="5363"/>
    <cellStyle name="_Book2 5 7" xfId="5364"/>
    <cellStyle name="_Book2 6" xfId="3682"/>
    <cellStyle name="_x0013__Book2 6" xfId="3287"/>
    <cellStyle name="_Book2 6 2" xfId="5365"/>
    <cellStyle name="_x0013__Book2 6 2" xfId="5366"/>
    <cellStyle name="_Book2 7" xfId="3683"/>
    <cellStyle name="_x0013__Book2 7" xfId="3288"/>
    <cellStyle name="_Book2 7 2" xfId="5367"/>
    <cellStyle name="_x0013__Book2 7 2" xfId="5368"/>
    <cellStyle name="_Book2 8" xfId="3684"/>
    <cellStyle name="_x0013__Book2 8" xfId="3289"/>
    <cellStyle name="_Book2 8 2" xfId="5369"/>
    <cellStyle name="_x0013__Book2 8 2" xfId="5370"/>
    <cellStyle name="_Book2 9" xfId="3685"/>
    <cellStyle name="_x0013__Book2 9" xfId="3290"/>
    <cellStyle name="_Book2 9 2" xfId="5371"/>
    <cellStyle name="_x0013__Book2 9 2" xfId="5372"/>
    <cellStyle name="_Book2_04 07E Wild Horse Wind Expansion (C) (2)" xfId="362"/>
    <cellStyle name="_Book2_04 07E Wild Horse Wind Expansion (C) (2) 2" xfId="363"/>
    <cellStyle name="_Book2_04 07E Wild Horse Wind Expansion (C) (2) 2 2" xfId="5373"/>
    <cellStyle name="_Book2_04 07E Wild Horse Wind Expansion (C) (2) 3" xfId="5374"/>
    <cellStyle name="_Book2_04 07E Wild Horse Wind Expansion (C) (2)_Adj Bench DR 3 for Initial Briefs (Electric)" xfId="364"/>
    <cellStyle name="_Book2_04 07E Wild Horse Wind Expansion (C) (2)_Adj Bench DR 3 for Initial Briefs (Electric) 2" xfId="365"/>
    <cellStyle name="_Book2_04 07E Wild Horse Wind Expansion (C) (2)_Adj Bench DR 3 for Initial Briefs (Electric) 2 2" xfId="5375"/>
    <cellStyle name="_Book2_04 07E Wild Horse Wind Expansion (C) (2)_Adj Bench DR 3 for Initial Briefs (Electric) 3" xfId="5376"/>
    <cellStyle name="_Book2_04 07E Wild Horse Wind Expansion (C) (2)_Electric Rev Req Model (2009 GRC) " xfId="366"/>
    <cellStyle name="_Book2_04 07E Wild Horse Wind Expansion (C) (2)_Electric Rev Req Model (2009 GRC)  2" xfId="367"/>
    <cellStyle name="_Book2_04 07E Wild Horse Wind Expansion (C) (2)_Electric Rev Req Model (2009 GRC)  2 2" xfId="5377"/>
    <cellStyle name="_Book2_04 07E Wild Horse Wind Expansion (C) (2)_Electric Rev Req Model (2009 GRC)  3" xfId="5378"/>
    <cellStyle name="_Book2_04 07E Wild Horse Wind Expansion (C) (2)_Electric Rev Req Model (2009 GRC) Rebuttal" xfId="368"/>
    <cellStyle name="_Book2_04 07E Wild Horse Wind Expansion (C) (2)_Electric Rev Req Model (2009 GRC) Rebuttal 2" xfId="3686"/>
    <cellStyle name="_Book2_04 07E Wild Horse Wind Expansion (C) (2)_Electric Rev Req Model (2009 GRC) Rebuttal 2 2" xfId="5379"/>
    <cellStyle name="_Book2_04 07E Wild Horse Wind Expansion (C) (2)_Electric Rev Req Model (2009 GRC) Rebuttal 3" xfId="5380"/>
    <cellStyle name="_Book2_04 07E Wild Horse Wind Expansion (C) (2)_Electric Rev Req Model (2009 GRC) Rebuttal REmoval of New  WH Solar AdjustMI" xfId="369"/>
    <cellStyle name="_Book2_04 07E Wild Horse Wind Expansion (C) (2)_Electric Rev Req Model (2009 GRC) Rebuttal REmoval of New  WH Solar AdjustMI 2" xfId="370"/>
    <cellStyle name="_Book2_04 07E Wild Horse Wind Expansion (C) (2)_Electric Rev Req Model (2009 GRC) Rebuttal REmoval of New  WH Solar AdjustMI 2 2" xfId="5381"/>
    <cellStyle name="_Book2_04 07E Wild Horse Wind Expansion (C) (2)_Electric Rev Req Model (2009 GRC) Rebuttal REmoval of New  WH Solar AdjustMI 3" xfId="5382"/>
    <cellStyle name="_Book2_04 07E Wild Horse Wind Expansion (C) (2)_Electric Rev Req Model (2009 GRC) Revised 01-18-2010" xfId="371"/>
    <cellStyle name="_Book2_04 07E Wild Horse Wind Expansion (C) (2)_Electric Rev Req Model (2009 GRC) Revised 01-18-2010 2" xfId="372"/>
    <cellStyle name="_Book2_04 07E Wild Horse Wind Expansion (C) (2)_Electric Rev Req Model (2009 GRC) Revised 01-18-2010 2 2" xfId="5383"/>
    <cellStyle name="_Book2_04 07E Wild Horse Wind Expansion (C) (2)_Electric Rev Req Model (2009 GRC) Revised 01-18-2010 3" xfId="5384"/>
    <cellStyle name="_Book2_04 07E Wild Horse Wind Expansion (C) (2)_Final Order Electric EXHIBIT A-1" xfId="373"/>
    <cellStyle name="_Book2_04 07E Wild Horse Wind Expansion (C) (2)_Final Order Electric EXHIBIT A-1 2" xfId="3687"/>
    <cellStyle name="_Book2_04 07E Wild Horse Wind Expansion (C) (2)_Final Order Electric EXHIBIT A-1 2 2" xfId="5385"/>
    <cellStyle name="_Book2_04 07E Wild Horse Wind Expansion (C) (2)_Final Order Electric EXHIBIT A-1 3" xfId="5386"/>
    <cellStyle name="_Book2_04 07E Wild Horse Wind Expansion (C) (2)_TENASKA REGULATORY ASSET" xfId="374"/>
    <cellStyle name="_Book2_04 07E Wild Horse Wind Expansion (C) (2)_TENASKA REGULATORY ASSET 2" xfId="3688"/>
    <cellStyle name="_Book2_04 07E Wild Horse Wind Expansion (C) (2)_TENASKA REGULATORY ASSET 2 2" xfId="5387"/>
    <cellStyle name="_Book2_04 07E Wild Horse Wind Expansion (C) (2)_TENASKA REGULATORY ASSET 3" xfId="5388"/>
    <cellStyle name="_Book2_16.37E Wild Horse Expansion DeferralRevwrkingfile SF" xfId="375"/>
    <cellStyle name="_Book2_16.37E Wild Horse Expansion DeferralRevwrkingfile SF 2" xfId="376"/>
    <cellStyle name="_Book2_16.37E Wild Horse Expansion DeferralRevwrkingfile SF 2 2" xfId="5389"/>
    <cellStyle name="_Book2_16.37E Wild Horse Expansion DeferralRevwrkingfile SF 3" xfId="5390"/>
    <cellStyle name="_Book2_2009 GRC Compl Filing - Exhibit D" xfId="377"/>
    <cellStyle name="_Book2_2009 GRC Compl Filing - Exhibit D 2" xfId="378"/>
    <cellStyle name="_Book2_4 31 Regulatory Assets and Liabilities  7 06- Exhibit D" xfId="379"/>
    <cellStyle name="_Book2_4 31 Regulatory Assets and Liabilities  7 06- Exhibit D 2" xfId="380"/>
    <cellStyle name="_Book2_4 31 Regulatory Assets and Liabilities  7 06- Exhibit D 2 2" xfId="5391"/>
    <cellStyle name="_Book2_4 31 Regulatory Assets and Liabilities  7 06- Exhibit D 3" xfId="5392"/>
    <cellStyle name="_Book2_4 31 Regulatory Assets and Liabilities  7 06- Exhibit D_NIM Summary" xfId="381"/>
    <cellStyle name="_Book2_4 31 Regulatory Assets and Liabilities  7 06- Exhibit D_NIM Summary 2" xfId="382"/>
    <cellStyle name="_Book2_4 32 Regulatory Assets and Liabilities  7 06- Exhibit D" xfId="383"/>
    <cellStyle name="_Book2_4 32 Regulatory Assets and Liabilities  7 06- Exhibit D 2" xfId="384"/>
    <cellStyle name="_Book2_4 32 Regulatory Assets and Liabilities  7 06- Exhibit D 2 2" xfId="5393"/>
    <cellStyle name="_Book2_4 32 Regulatory Assets and Liabilities  7 06- Exhibit D 3" xfId="5394"/>
    <cellStyle name="_Book2_4 32 Regulatory Assets and Liabilities  7 06- Exhibit D_NIM Summary" xfId="385"/>
    <cellStyle name="_Book2_4 32 Regulatory Assets and Liabilities  7 06- Exhibit D_NIM Summary 2" xfId="386"/>
    <cellStyle name="_x0013__Book2_Adj Bench DR 3 for Initial Briefs (Electric)" xfId="387"/>
    <cellStyle name="_x0013__Book2_Adj Bench DR 3 for Initial Briefs (Electric) 2" xfId="388"/>
    <cellStyle name="_x0013__Book2_Adj Bench DR 3 for Initial Briefs (Electric) 2 2" xfId="5395"/>
    <cellStyle name="_x0013__Book2_Adj Bench DR 3 for Initial Briefs (Electric) 3" xfId="5396"/>
    <cellStyle name="_Book2_AURORA Total New" xfId="389"/>
    <cellStyle name="_Book2_AURORA Total New 2" xfId="390"/>
    <cellStyle name="_Book2_Book2" xfId="391"/>
    <cellStyle name="_Book2_Book2 2" xfId="392"/>
    <cellStyle name="_Book2_Book2 2 2" xfId="5397"/>
    <cellStyle name="_Book2_Book2 3" xfId="5398"/>
    <cellStyle name="_Book2_Book2_Adj Bench DR 3 for Initial Briefs (Electric)" xfId="393"/>
    <cellStyle name="_Book2_Book2_Adj Bench DR 3 for Initial Briefs (Electric) 2" xfId="394"/>
    <cellStyle name="_Book2_Book2_Adj Bench DR 3 for Initial Briefs (Electric) 2 2" xfId="5399"/>
    <cellStyle name="_Book2_Book2_Adj Bench DR 3 for Initial Briefs (Electric) 3" xfId="5400"/>
    <cellStyle name="_Book2_Book2_Electric Rev Req Model (2009 GRC) Rebuttal" xfId="395"/>
    <cellStyle name="_Book2_Book2_Electric Rev Req Model (2009 GRC) Rebuttal 2" xfId="3689"/>
    <cellStyle name="_Book2_Book2_Electric Rev Req Model (2009 GRC) Rebuttal 2 2" xfId="5401"/>
    <cellStyle name="_Book2_Book2_Electric Rev Req Model (2009 GRC) Rebuttal 3" xfId="5402"/>
    <cellStyle name="_Book2_Book2_Electric Rev Req Model (2009 GRC) Rebuttal REmoval of New  WH Solar AdjustMI" xfId="396"/>
    <cellStyle name="_Book2_Book2_Electric Rev Req Model (2009 GRC) Rebuttal REmoval of New  WH Solar AdjustMI 2" xfId="397"/>
    <cellStyle name="_Book2_Book2_Electric Rev Req Model (2009 GRC) Rebuttal REmoval of New  WH Solar AdjustMI 2 2" xfId="5403"/>
    <cellStyle name="_Book2_Book2_Electric Rev Req Model (2009 GRC) Rebuttal REmoval of New  WH Solar AdjustMI 3" xfId="5404"/>
    <cellStyle name="_Book2_Book2_Electric Rev Req Model (2009 GRC) Revised 01-18-2010" xfId="398"/>
    <cellStyle name="_Book2_Book2_Electric Rev Req Model (2009 GRC) Revised 01-18-2010 2" xfId="399"/>
    <cellStyle name="_Book2_Book2_Electric Rev Req Model (2009 GRC) Revised 01-18-2010 2 2" xfId="5405"/>
    <cellStyle name="_Book2_Book2_Electric Rev Req Model (2009 GRC) Revised 01-18-2010 3" xfId="5406"/>
    <cellStyle name="_Book2_Book2_Final Order Electric EXHIBIT A-1" xfId="400"/>
    <cellStyle name="_Book2_Book2_Final Order Electric EXHIBIT A-1 2" xfId="3690"/>
    <cellStyle name="_Book2_Book2_Final Order Electric EXHIBIT A-1 2 2" xfId="5407"/>
    <cellStyle name="_Book2_Book2_Final Order Electric EXHIBIT A-1 3" xfId="5408"/>
    <cellStyle name="_Book2_Book4" xfId="401"/>
    <cellStyle name="_Book2_Book4 2" xfId="402"/>
    <cellStyle name="_Book2_Book4 2 2" xfId="5409"/>
    <cellStyle name="_Book2_Book4 3" xfId="5410"/>
    <cellStyle name="_Book2_Book9" xfId="403"/>
    <cellStyle name="_Book2_Book9 2" xfId="404"/>
    <cellStyle name="_Book2_Book9 2 2" xfId="5411"/>
    <cellStyle name="_Book2_Book9 3" xfId="5412"/>
    <cellStyle name="_x0013__Book2_Electric Rev Req Model (2009 GRC) Rebuttal" xfId="405"/>
    <cellStyle name="_x0013__Book2_Electric Rev Req Model (2009 GRC) Rebuttal 2" xfId="3691"/>
    <cellStyle name="_x0013__Book2_Electric Rev Req Model (2009 GRC) Rebuttal 2 2" xfId="5413"/>
    <cellStyle name="_x0013__Book2_Electric Rev Req Model (2009 GRC) Rebuttal 3" xfId="5414"/>
    <cellStyle name="_x0013__Book2_Electric Rev Req Model (2009 GRC) Rebuttal REmoval of New  WH Solar AdjustMI" xfId="406"/>
    <cellStyle name="_x0013__Book2_Electric Rev Req Model (2009 GRC) Rebuttal REmoval of New  WH Solar AdjustMI 2" xfId="407"/>
    <cellStyle name="_x0013__Book2_Electric Rev Req Model (2009 GRC) Rebuttal REmoval of New  WH Solar AdjustMI 2 2" xfId="5415"/>
    <cellStyle name="_x0013__Book2_Electric Rev Req Model (2009 GRC) Rebuttal REmoval of New  WH Solar AdjustMI 3" xfId="5416"/>
    <cellStyle name="_x0013__Book2_Electric Rev Req Model (2009 GRC) Revised 01-18-2010" xfId="408"/>
    <cellStyle name="_x0013__Book2_Electric Rev Req Model (2009 GRC) Revised 01-18-2010 2" xfId="409"/>
    <cellStyle name="_x0013__Book2_Electric Rev Req Model (2009 GRC) Revised 01-18-2010 2 2" xfId="5417"/>
    <cellStyle name="_x0013__Book2_Electric Rev Req Model (2009 GRC) Revised 01-18-2010 3" xfId="5418"/>
    <cellStyle name="_x0013__Book2_Final Order Electric EXHIBIT A-1" xfId="410"/>
    <cellStyle name="_x0013__Book2_Final Order Electric EXHIBIT A-1 2" xfId="3692"/>
    <cellStyle name="_x0013__Book2_Final Order Electric EXHIBIT A-1 2 2" xfId="5419"/>
    <cellStyle name="_x0013__Book2_Final Order Electric EXHIBIT A-1 3" xfId="5420"/>
    <cellStyle name="_Book2_INPUTS" xfId="3693"/>
    <cellStyle name="_Book2_INPUTS 2" xfId="3694"/>
    <cellStyle name="_Book2_INPUTS 2 2" xfId="5421"/>
    <cellStyle name="_Book2_INPUTS 3" xfId="5422"/>
    <cellStyle name="_Book2_NIM Summary" xfId="411"/>
    <cellStyle name="_Book2_NIM Summary 09GRC" xfId="412"/>
    <cellStyle name="_Book2_NIM Summary 09GRC 2" xfId="413"/>
    <cellStyle name="_Book2_NIM Summary 2" xfId="414"/>
    <cellStyle name="_Book2_NIM Summary 3" xfId="415"/>
    <cellStyle name="_Book2_NIM Summary 4" xfId="3291"/>
    <cellStyle name="_Book2_NIM Summary 5" xfId="3292"/>
    <cellStyle name="_Book2_NIM Summary 6" xfId="3293"/>
    <cellStyle name="_Book2_NIM Summary 7" xfId="3294"/>
    <cellStyle name="_Book2_NIM Summary 8" xfId="3295"/>
    <cellStyle name="_Book2_NIM Summary 9" xfId="3296"/>
    <cellStyle name="_Book2_PCA 9 -  Exhibit D April 2010 (3)" xfId="416"/>
    <cellStyle name="_Book2_PCA 9 -  Exhibit D April 2010 (3) 2" xfId="417"/>
    <cellStyle name="_Book2_Power Costs - Comparison bx Rbtl-Staff-Jt-PC" xfId="418"/>
    <cellStyle name="_Book2_Power Costs - Comparison bx Rbtl-Staff-Jt-PC 2" xfId="419"/>
    <cellStyle name="_Book2_Power Costs - Comparison bx Rbtl-Staff-Jt-PC 2 2" xfId="5423"/>
    <cellStyle name="_Book2_Power Costs - Comparison bx Rbtl-Staff-Jt-PC 3" xfId="5424"/>
    <cellStyle name="_Book2_Power Costs - Comparison bx Rbtl-Staff-Jt-PC_Adj Bench DR 3 for Initial Briefs (Electric)" xfId="420"/>
    <cellStyle name="_Book2_Power Costs - Comparison bx Rbtl-Staff-Jt-PC_Adj Bench DR 3 for Initial Briefs (Electric) 2" xfId="421"/>
    <cellStyle name="_Book2_Power Costs - Comparison bx Rbtl-Staff-Jt-PC_Adj Bench DR 3 for Initial Briefs (Electric) 2 2" xfId="5425"/>
    <cellStyle name="_Book2_Power Costs - Comparison bx Rbtl-Staff-Jt-PC_Adj Bench DR 3 for Initial Briefs (Electric) 3" xfId="5426"/>
    <cellStyle name="_Book2_Power Costs - Comparison bx Rbtl-Staff-Jt-PC_Electric Rev Req Model (2009 GRC) Rebuttal" xfId="422"/>
    <cellStyle name="_Book2_Power Costs - Comparison bx Rbtl-Staff-Jt-PC_Electric Rev Req Model (2009 GRC) Rebuttal 2" xfId="3695"/>
    <cellStyle name="_Book2_Power Costs - Comparison bx Rbtl-Staff-Jt-PC_Electric Rev Req Model (2009 GRC) Rebuttal 2 2" xfId="5427"/>
    <cellStyle name="_Book2_Power Costs - Comparison bx Rbtl-Staff-Jt-PC_Electric Rev Req Model (2009 GRC) Rebuttal 3" xfId="5428"/>
    <cellStyle name="_Book2_Power Costs - Comparison bx Rbtl-Staff-Jt-PC_Electric Rev Req Model (2009 GRC) Rebuttal REmoval of New  WH Solar AdjustMI" xfId="423"/>
    <cellStyle name="_Book2_Power Costs - Comparison bx Rbtl-Staff-Jt-PC_Electric Rev Req Model (2009 GRC) Rebuttal REmoval of New  WH Solar AdjustMI 2" xfId="424"/>
    <cellStyle name="_Book2_Power Costs - Comparison bx Rbtl-Staff-Jt-PC_Electric Rev Req Model (2009 GRC) Rebuttal REmoval of New  WH Solar AdjustMI 2 2" xfId="5429"/>
    <cellStyle name="_Book2_Power Costs - Comparison bx Rbtl-Staff-Jt-PC_Electric Rev Req Model (2009 GRC) Rebuttal REmoval of New  WH Solar AdjustMI 3" xfId="5430"/>
    <cellStyle name="_Book2_Power Costs - Comparison bx Rbtl-Staff-Jt-PC_Electric Rev Req Model (2009 GRC) Revised 01-18-2010" xfId="425"/>
    <cellStyle name="_Book2_Power Costs - Comparison bx Rbtl-Staff-Jt-PC_Electric Rev Req Model (2009 GRC) Revised 01-18-2010 2" xfId="426"/>
    <cellStyle name="_Book2_Power Costs - Comparison bx Rbtl-Staff-Jt-PC_Electric Rev Req Model (2009 GRC) Revised 01-18-2010 2 2" xfId="5431"/>
    <cellStyle name="_Book2_Power Costs - Comparison bx Rbtl-Staff-Jt-PC_Electric Rev Req Model (2009 GRC) Revised 01-18-2010 3" xfId="5432"/>
    <cellStyle name="_Book2_Power Costs - Comparison bx Rbtl-Staff-Jt-PC_Final Order Electric EXHIBIT A-1" xfId="427"/>
    <cellStyle name="_Book2_Power Costs - Comparison bx Rbtl-Staff-Jt-PC_Final Order Electric EXHIBIT A-1 2" xfId="3696"/>
    <cellStyle name="_Book2_Power Costs - Comparison bx Rbtl-Staff-Jt-PC_Final Order Electric EXHIBIT A-1 2 2" xfId="5433"/>
    <cellStyle name="_Book2_Power Costs - Comparison bx Rbtl-Staff-Jt-PC_Final Order Electric EXHIBIT A-1 3" xfId="5434"/>
    <cellStyle name="_Book2_Production Adj 4.37" xfId="3697"/>
    <cellStyle name="_Book2_Production Adj 4.37 2" xfId="3698"/>
    <cellStyle name="_Book2_Production Adj 4.37 2 2" xfId="5435"/>
    <cellStyle name="_Book2_Production Adj 4.37 3" xfId="5436"/>
    <cellStyle name="_Book2_Purchased Power Adj 4.03" xfId="3699"/>
    <cellStyle name="_Book2_Purchased Power Adj 4.03 2" xfId="3700"/>
    <cellStyle name="_Book2_Purchased Power Adj 4.03 2 2" xfId="5437"/>
    <cellStyle name="_Book2_Purchased Power Adj 4.03 3" xfId="5438"/>
    <cellStyle name="_Book2_Rebuttal Power Costs" xfId="428"/>
    <cellStyle name="_Book2_Rebuttal Power Costs 2" xfId="429"/>
    <cellStyle name="_Book2_Rebuttal Power Costs 2 2" xfId="5439"/>
    <cellStyle name="_Book2_Rebuttal Power Costs 3" xfId="5440"/>
    <cellStyle name="_Book2_Rebuttal Power Costs_Adj Bench DR 3 for Initial Briefs (Electric)" xfId="430"/>
    <cellStyle name="_Book2_Rebuttal Power Costs_Adj Bench DR 3 for Initial Briefs (Electric) 2" xfId="431"/>
    <cellStyle name="_Book2_Rebuttal Power Costs_Adj Bench DR 3 for Initial Briefs (Electric) 2 2" xfId="5441"/>
    <cellStyle name="_Book2_Rebuttal Power Costs_Adj Bench DR 3 for Initial Briefs (Electric) 3" xfId="5442"/>
    <cellStyle name="_Book2_Rebuttal Power Costs_Electric Rev Req Model (2009 GRC) Rebuttal" xfId="432"/>
    <cellStyle name="_Book2_Rebuttal Power Costs_Electric Rev Req Model (2009 GRC) Rebuttal 2" xfId="3701"/>
    <cellStyle name="_Book2_Rebuttal Power Costs_Electric Rev Req Model (2009 GRC) Rebuttal 2 2" xfId="5443"/>
    <cellStyle name="_Book2_Rebuttal Power Costs_Electric Rev Req Model (2009 GRC) Rebuttal 3" xfId="5444"/>
    <cellStyle name="_Book2_Rebuttal Power Costs_Electric Rev Req Model (2009 GRC) Rebuttal REmoval of New  WH Solar AdjustMI" xfId="433"/>
    <cellStyle name="_Book2_Rebuttal Power Costs_Electric Rev Req Model (2009 GRC) Rebuttal REmoval of New  WH Solar AdjustMI 2" xfId="434"/>
    <cellStyle name="_Book2_Rebuttal Power Costs_Electric Rev Req Model (2009 GRC) Rebuttal REmoval of New  WH Solar AdjustMI 2 2" xfId="5445"/>
    <cellStyle name="_Book2_Rebuttal Power Costs_Electric Rev Req Model (2009 GRC) Rebuttal REmoval of New  WH Solar AdjustMI 3" xfId="5446"/>
    <cellStyle name="_Book2_Rebuttal Power Costs_Electric Rev Req Model (2009 GRC) Revised 01-18-2010" xfId="435"/>
    <cellStyle name="_Book2_Rebuttal Power Costs_Electric Rev Req Model (2009 GRC) Revised 01-18-2010 2" xfId="436"/>
    <cellStyle name="_Book2_Rebuttal Power Costs_Electric Rev Req Model (2009 GRC) Revised 01-18-2010 2 2" xfId="5447"/>
    <cellStyle name="_Book2_Rebuttal Power Costs_Electric Rev Req Model (2009 GRC) Revised 01-18-2010 3" xfId="5448"/>
    <cellStyle name="_Book2_Rebuttal Power Costs_Final Order Electric EXHIBIT A-1" xfId="437"/>
    <cellStyle name="_Book2_Rebuttal Power Costs_Final Order Electric EXHIBIT A-1 2" xfId="3702"/>
    <cellStyle name="_Book2_Rebuttal Power Costs_Final Order Electric EXHIBIT A-1 2 2" xfId="5449"/>
    <cellStyle name="_Book2_Rebuttal Power Costs_Final Order Electric EXHIBIT A-1 3" xfId="5450"/>
    <cellStyle name="_Book2_ROR &amp; CONV FACTOR" xfId="3703"/>
    <cellStyle name="_Book2_ROR &amp; CONV FACTOR 2" xfId="3704"/>
    <cellStyle name="_Book2_ROR &amp; CONV FACTOR 2 2" xfId="5451"/>
    <cellStyle name="_Book2_ROR &amp; CONV FACTOR 3" xfId="5452"/>
    <cellStyle name="_Book2_ROR 5.02" xfId="3705"/>
    <cellStyle name="_Book2_ROR 5.02 2" xfId="3706"/>
    <cellStyle name="_Book2_ROR 5.02 2 2" xfId="5453"/>
    <cellStyle name="_Book2_ROR 5.02 3" xfId="5454"/>
    <cellStyle name="_Book2_Wind Integration 10GRC" xfId="438"/>
    <cellStyle name="_Book2_Wind Integration 10GRC 2" xfId="439"/>
    <cellStyle name="_Book3" xfId="440"/>
    <cellStyle name="_Book5" xfId="441"/>
    <cellStyle name="_Book5_DEM-WP(C) Costs Not In AURORA 2010GRC As Filed" xfId="442"/>
    <cellStyle name="_Book5_NIM Summary" xfId="443"/>
    <cellStyle name="_Book5_NIM Summary 09GRC" xfId="444"/>
    <cellStyle name="_Book5_NIM Summary 2" xfId="445"/>
    <cellStyle name="_Book5_NIM Summary 3" xfId="446"/>
    <cellStyle name="_Book5_NIM Summary 4" xfId="3297"/>
    <cellStyle name="_Book5_NIM Summary 5" xfId="3298"/>
    <cellStyle name="_Book5_NIM Summary 6" xfId="3299"/>
    <cellStyle name="_Book5_NIM Summary 7" xfId="3300"/>
    <cellStyle name="_Book5_NIM Summary 8" xfId="3301"/>
    <cellStyle name="_Book5_NIM Summary 9" xfId="3302"/>
    <cellStyle name="_Book5_PCA 9 -  Exhibit D April 2010 (3)" xfId="447"/>
    <cellStyle name="_Book5_Reconciliation" xfId="448"/>
    <cellStyle name="_Book5_Wind Integration 10GRC" xfId="449"/>
    <cellStyle name="_Book5_Wind Integration 10GRC 2" xfId="450"/>
    <cellStyle name="_BPA NOS" xfId="451"/>
    <cellStyle name="_BPA NOS_DEM-WP(C) Wind Integration Summary 2010GRC" xfId="452"/>
    <cellStyle name="_BPA NOS_DEM-WP(C) Wind Integration Summary 2010GRC 2" xfId="453"/>
    <cellStyle name="_BPA NOS_NIM Summary" xfId="454"/>
    <cellStyle name="_BPA NOS_NIM Summary 2" xfId="455"/>
    <cellStyle name="_Chelan Debt Forecast 12.19.05" xfId="456"/>
    <cellStyle name="_Chelan Debt Forecast 12.19.05 2" xfId="457"/>
    <cellStyle name="_Chelan Debt Forecast 12.19.05 2 2" xfId="458"/>
    <cellStyle name="_Chelan Debt Forecast 12.19.05 2 2 2" xfId="5455"/>
    <cellStyle name="_Chelan Debt Forecast 12.19.05 2 3" xfId="5456"/>
    <cellStyle name="_Chelan Debt Forecast 12.19.05 3" xfId="459"/>
    <cellStyle name="_Chelan Debt Forecast 12.19.05 3 2" xfId="3707"/>
    <cellStyle name="_Chelan Debt Forecast 12.19.05 3 2 2" xfId="5457"/>
    <cellStyle name="_Chelan Debt Forecast 12.19.05 3 3" xfId="3708"/>
    <cellStyle name="_Chelan Debt Forecast 12.19.05 3 3 2" xfId="5458"/>
    <cellStyle name="_Chelan Debt Forecast 12.19.05 3 4" xfId="3709"/>
    <cellStyle name="_Chelan Debt Forecast 12.19.05 3 4 2" xfId="5459"/>
    <cellStyle name="_Chelan Debt Forecast 12.19.05 4" xfId="460"/>
    <cellStyle name="_Chelan Debt Forecast 12.19.05 4 2" xfId="3303"/>
    <cellStyle name="_Chelan Debt Forecast 12.19.05 5" xfId="5460"/>
    <cellStyle name="_Chelan Debt Forecast 12.19.05_(C) WHE Proforma with ITC cash grant 10 Yr Amort_for deferral_102809" xfId="461"/>
    <cellStyle name="_Chelan Debt Forecast 12.19.05_(C) WHE Proforma with ITC cash grant 10 Yr Amort_for deferral_102809 2" xfId="462"/>
    <cellStyle name="_Chelan Debt Forecast 12.19.05_(C) WHE Proforma with ITC cash grant 10 Yr Amort_for deferral_102809 2 2" xfId="5461"/>
    <cellStyle name="_Chelan Debt Forecast 12.19.05_(C) WHE Proforma with ITC cash grant 10 Yr Amort_for deferral_102809 3" xfId="5462"/>
    <cellStyle name="_Chelan Debt Forecast 12.19.05_(C) WHE Proforma with ITC cash grant 10 Yr Amort_for deferral_102809_16.07E Wild Horse Wind Expansionwrkingfile" xfId="463"/>
    <cellStyle name="_Chelan Debt Forecast 12.19.05_(C) WHE Proforma with ITC cash grant 10 Yr Amort_for deferral_102809_16.07E Wild Horse Wind Expansionwrkingfile 2" xfId="464"/>
    <cellStyle name="_Chelan Debt Forecast 12.19.05_(C) WHE Proforma with ITC cash grant 10 Yr Amort_for deferral_102809_16.07E Wild Horse Wind Expansionwrkingfile 2 2" xfId="5463"/>
    <cellStyle name="_Chelan Debt Forecast 12.19.05_(C) WHE Proforma with ITC cash grant 10 Yr Amort_for deferral_102809_16.07E Wild Horse Wind Expansionwrkingfile 3" xfId="5464"/>
    <cellStyle name="_Chelan Debt Forecast 12.19.05_(C) WHE Proforma with ITC cash grant 10 Yr Amort_for deferral_102809_16.07E Wild Horse Wind Expansionwrkingfile SF" xfId="465"/>
    <cellStyle name="_Chelan Debt Forecast 12.19.05_(C) WHE Proforma with ITC cash grant 10 Yr Amort_for deferral_102809_16.07E Wild Horse Wind Expansionwrkingfile SF 2" xfId="466"/>
    <cellStyle name="_Chelan Debt Forecast 12.19.05_(C) WHE Proforma with ITC cash grant 10 Yr Amort_for deferral_102809_16.07E Wild Horse Wind Expansionwrkingfile SF 2 2" xfId="5465"/>
    <cellStyle name="_Chelan Debt Forecast 12.19.05_(C) WHE Proforma with ITC cash grant 10 Yr Amort_for deferral_102809_16.07E Wild Horse Wind Expansionwrkingfile SF 3" xfId="5466"/>
    <cellStyle name="_Chelan Debt Forecast 12.19.05_(C) WHE Proforma with ITC cash grant 10 Yr Amort_for deferral_102809_16.37E Wild Horse Expansion DeferralRevwrkingfile SF" xfId="467"/>
    <cellStyle name="_Chelan Debt Forecast 12.19.05_(C) WHE Proforma with ITC cash grant 10 Yr Amort_for deferral_102809_16.37E Wild Horse Expansion DeferralRevwrkingfile SF 2" xfId="468"/>
    <cellStyle name="_Chelan Debt Forecast 12.19.05_(C) WHE Proforma with ITC cash grant 10 Yr Amort_for deferral_102809_16.37E Wild Horse Expansion DeferralRevwrkingfile SF 2 2" xfId="5467"/>
    <cellStyle name="_Chelan Debt Forecast 12.19.05_(C) WHE Proforma with ITC cash grant 10 Yr Amort_for deferral_102809_16.37E Wild Horse Expansion DeferralRevwrkingfile SF 3" xfId="5468"/>
    <cellStyle name="_Chelan Debt Forecast 12.19.05_(C) WHE Proforma with ITC cash grant 10 Yr Amort_for rebuttal_120709" xfId="469"/>
    <cellStyle name="_Chelan Debt Forecast 12.19.05_(C) WHE Proforma with ITC cash grant 10 Yr Amort_for rebuttal_120709 2" xfId="470"/>
    <cellStyle name="_Chelan Debt Forecast 12.19.05_(C) WHE Proforma with ITC cash grant 10 Yr Amort_for rebuttal_120709 2 2" xfId="5469"/>
    <cellStyle name="_Chelan Debt Forecast 12.19.05_(C) WHE Proforma with ITC cash grant 10 Yr Amort_for rebuttal_120709 3" xfId="5470"/>
    <cellStyle name="_Chelan Debt Forecast 12.19.05_04.07E Wild Horse Wind Expansion" xfId="471"/>
    <cellStyle name="_Chelan Debt Forecast 12.19.05_04.07E Wild Horse Wind Expansion 2" xfId="472"/>
    <cellStyle name="_Chelan Debt Forecast 12.19.05_04.07E Wild Horse Wind Expansion 2 2" xfId="5471"/>
    <cellStyle name="_Chelan Debt Forecast 12.19.05_04.07E Wild Horse Wind Expansion 3" xfId="5472"/>
    <cellStyle name="_Chelan Debt Forecast 12.19.05_04.07E Wild Horse Wind Expansion_16.07E Wild Horse Wind Expansionwrkingfile" xfId="473"/>
    <cellStyle name="_Chelan Debt Forecast 12.19.05_04.07E Wild Horse Wind Expansion_16.07E Wild Horse Wind Expansionwrkingfile 2" xfId="474"/>
    <cellStyle name="_Chelan Debt Forecast 12.19.05_04.07E Wild Horse Wind Expansion_16.07E Wild Horse Wind Expansionwrkingfile 2 2" xfId="5473"/>
    <cellStyle name="_Chelan Debt Forecast 12.19.05_04.07E Wild Horse Wind Expansion_16.07E Wild Horse Wind Expansionwrkingfile 3" xfId="5474"/>
    <cellStyle name="_Chelan Debt Forecast 12.19.05_04.07E Wild Horse Wind Expansion_16.07E Wild Horse Wind Expansionwrkingfile SF" xfId="475"/>
    <cellStyle name="_Chelan Debt Forecast 12.19.05_04.07E Wild Horse Wind Expansion_16.07E Wild Horse Wind Expansionwrkingfile SF 2" xfId="476"/>
    <cellStyle name="_Chelan Debt Forecast 12.19.05_04.07E Wild Horse Wind Expansion_16.07E Wild Horse Wind Expansionwrkingfile SF 2 2" xfId="5475"/>
    <cellStyle name="_Chelan Debt Forecast 12.19.05_04.07E Wild Horse Wind Expansion_16.07E Wild Horse Wind Expansionwrkingfile SF 3" xfId="5476"/>
    <cellStyle name="_Chelan Debt Forecast 12.19.05_04.07E Wild Horse Wind Expansion_16.37E Wild Horse Expansion DeferralRevwrkingfile SF" xfId="477"/>
    <cellStyle name="_Chelan Debt Forecast 12.19.05_04.07E Wild Horse Wind Expansion_16.37E Wild Horse Expansion DeferralRevwrkingfile SF 2" xfId="478"/>
    <cellStyle name="_Chelan Debt Forecast 12.19.05_04.07E Wild Horse Wind Expansion_16.37E Wild Horse Expansion DeferralRevwrkingfile SF 2 2" xfId="5477"/>
    <cellStyle name="_Chelan Debt Forecast 12.19.05_04.07E Wild Horse Wind Expansion_16.37E Wild Horse Expansion DeferralRevwrkingfile SF 3" xfId="5478"/>
    <cellStyle name="_Chelan Debt Forecast 12.19.05_16.07E Wild Horse Wind Expansionwrkingfile" xfId="479"/>
    <cellStyle name="_Chelan Debt Forecast 12.19.05_16.07E Wild Horse Wind Expansionwrkingfile 2" xfId="480"/>
    <cellStyle name="_Chelan Debt Forecast 12.19.05_16.07E Wild Horse Wind Expansionwrkingfile 2 2" xfId="5479"/>
    <cellStyle name="_Chelan Debt Forecast 12.19.05_16.07E Wild Horse Wind Expansionwrkingfile 3" xfId="5480"/>
    <cellStyle name="_Chelan Debt Forecast 12.19.05_16.07E Wild Horse Wind Expansionwrkingfile SF" xfId="481"/>
    <cellStyle name="_Chelan Debt Forecast 12.19.05_16.07E Wild Horse Wind Expansionwrkingfile SF 2" xfId="482"/>
    <cellStyle name="_Chelan Debt Forecast 12.19.05_16.07E Wild Horse Wind Expansionwrkingfile SF 2 2" xfId="5481"/>
    <cellStyle name="_Chelan Debt Forecast 12.19.05_16.07E Wild Horse Wind Expansionwrkingfile SF 3" xfId="5482"/>
    <cellStyle name="_Chelan Debt Forecast 12.19.05_16.37E Wild Horse Expansion DeferralRevwrkingfile SF" xfId="483"/>
    <cellStyle name="_Chelan Debt Forecast 12.19.05_16.37E Wild Horse Expansion DeferralRevwrkingfile SF 2" xfId="484"/>
    <cellStyle name="_Chelan Debt Forecast 12.19.05_16.37E Wild Horse Expansion DeferralRevwrkingfile SF 2 2" xfId="5483"/>
    <cellStyle name="_Chelan Debt Forecast 12.19.05_16.37E Wild Horse Expansion DeferralRevwrkingfile SF 3" xfId="5484"/>
    <cellStyle name="_Chelan Debt Forecast 12.19.05_2009 GRC Compl Filing - Exhibit D" xfId="485"/>
    <cellStyle name="_Chelan Debt Forecast 12.19.05_2009 GRC Compl Filing - Exhibit D 2" xfId="486"/>
    <cellStyle name="_Chelan Debt Forecast 12.19.05_4 31 Regulatory Assets and Liabilities  7 06- Exhibit D" xfId="487"/>
    <cellStyle name="_Chelan Debt Forecast 12.19.05_4 31 Regulatory Assets and Liabilities  7 06- Exhibit D 2" xfId="488"/>
    <cellStyle name="_Chelan Debt Forecast 12.19.05_4 31 Regulatory Assets and Liabilities  7 06- Exhibit D 2 2" xfId="5485"/>
    <cellStyle name="_Chelan Debt Forecast 12.19.05_4 31 Regulatory Assets and Liabilities  7 06- Exhibit D 3" xfId="5486"/>
    <cellStyle name="_Chelan Debt Forecast 12.19.05_4 31 Regulatory Assets and Liabilities  7 06- Exhibit D_NIM Summary" xfId="489"/>
    <cellStyle name="_Chelan Debt Forecast 12.19.05_4 31 Regulatory Assets and Liabilities  7 06- Exhibit D_NIM Summary 2" xfId="490"/>
    <cellStyle name="_Chelan Debt Forecast 12.19.05_4 32 Regulatory Assets and Liabilities  7 06- Exhibit D" xfId="491"/>
    <cellStyle name="_Chelan Debt Forecast 12.19.05_4 32 Regulatory Assets and Liabilities  7 06- Exhibit D 2" xfId="492"/>
    <cellStyle name="_Chelan Debt Forecast 12.19.05_4 32 Regulatory Assets and Liabilities  7 06- Exhibit D 2 2" xfId="5487"/>
    <cellStyle name="_Chelan Debt Forecast 12.19.05_4 32 Regulatory Assets and Liabilities  7 06- Exhibit D 3" xfId="5488"/>
    <cellStyle name="_Chelan Debt Forecast 12.19.05_4 32 Regulatory Assets and Liabilities  7 06- Exhibit D_NIM Summary" xfId="493"/>
    <cellStyle name="_Chelan Debt Forecast 12.19.05_4 32 Regulatory Assets and Liabilities  7 06- Exhibit D_NIM Summary 2" xfId="494"/>
    <cellStyle name="_Chelan Debt Forecast 12.19.05_AURORA Total New" xfId="495"/>
    <cellStyle name="_Chelan Debt Forecast 12.19.05_AURORA Total New 2" xfId="496"/>
    <cellStyle name="_Chelan Debt Forecast 12.19.05_Book2" xfId="497"/>
    <cellStyle name="_Chelan Debt Forecast 12.19.05_Book2 2" xfId="498"/>
    <cellStyle name="_Chelan Debt Forecast 12.19.05_Book2 2 2" xfId="5489"/>
    <cellStyle name="_Chelan Debt Forecast 12.19.05_Book2 3" xfId="5490"/>
    <cellStyle name="_Chelan Debt Forecast 12.19.05_Book2_Adj Bench DR 3 for Initial Briefs (Electric)" xfId="499"/>
    <cellStyle name="_Chelan Debt Forecast 12.19.05_Book2_Adj Bench DR 3 for Initial Briefs (Electric) 2" xfId="500"/>
    <cellStyle name="_Chelan Debt Forecast 12.19.05_Book2_Adj Bench DR 3 for Initial Briefs (Electric) 2 2" xfId="5491"/>
    <cellStyle name="_Chelan Debt Forecast 12.19.05_Book2_Adj Bench DR 3 for Initial Briefs (Electric) 3" xfId="5492"/>
    <cellStyle name="_Chelan Debt Forecast 12.19.05_Book2_Electric Rev Req Model (2009 GRC) Rebuttal" xfId="501"/>
    <cellStyle name="_Chelan Debt Forecast 12.19.05_Book2_Electric Rev Req Model (2009 GRC) Rebuttal 2" xfId="3710"/>
    <cellStyle name="_Chelan Debt Forecast 12.19.05_Book2_Electric Rev Req Model (2009 GRC) Rebuttal 2 2" xfId="5493"/>
    <cellStyle name="_Chelan Debt Forecast 12.19.05_Book2_Electric Rev Req Model (2009 GRC) Rebuttal 3" xfId="5494"/>
    <cellStyle name="_Chelan Debt Forecast 12.19.05_Book2_Electric Rev Req Model (2009 GRC) Rebuttal REmoval of New  WH Solar AdjustMI" xfId="502"/>
    <cellStyle name="_Chelan Debt Forecast 12.19.05_Book2_Electric Rev Req Model (2009 GRC) Rebuttal REmoval of New  WH Solar AdjustMI 2" xfId="503"/>
    <cellStyle name="_Chelan Debt Forecast 12.19.05_Book2_Electric Rev Req Model (2009 GRC) Rebuttal REmoval of New  WH Solar AdjustMI 2 2" xfId="5495"/>
    <cellStyle name="_Chelan Debt Forecast 12.19.05_Book2_Electric Rev Req Model (2009 GRC) Rebuttal REmoval of New  WH Solar AdjustMI 3" xfId="5496"/>
    <cellStyle name="_Chelan Debt Forecast 12.19.05_Book2_Electric Rev Req Model (2009 GRC) Revised 01-18-2010" xfId="504"/>
    <cellStyle name="_Chelan Debt Forecast 12.19.05_Book2_Electric Rev Req Model (2009 GRC) Revised 01-18-2010 2" xfId="505"/>
    <cellStyle name="_Chelan Debt Forecast 12.19.05_Book2_Electric Rev Req Model (2009 GRC) Revised 01-18-2010 2 2" xfId="5497"/>
    <cellStyle name="_Chelan Debt Forecast 12.19.05_Book2_Electric Rev Req Model (2009 GRC) Revised 01-18-2010 3" xfId="5498"/>
    <cellStyle name="_Chelan Debt Forecast 12.19.05_Book2_Final Order Electric EXHIBIT A-1" xfId="506"/>
    <cellStyle name="_Chelan Debt Forecast 12.19.05_Book2_Final Order Electric EXHIBIT A-1 2" xfId="3711"/>
    <cellStyle name="_Chelan Debt Forecast 12.19.05_Book2_Final Order Electric EXHIBIT A-1 2 2" xfId="5499"/>
    <cellStyle name="_Chelan Debt Forecast 12.19.05_Book2_Final Order Electric EXHIBIT A-1 3" xfId="5500"/>
    <cellStyle name="_Chelan Debt Forecast 12.19.05_Book4" xfId="507"/>
    <cellStyle name="_Chelan Debt Forecast 12.19.05_Book4 2" xfId="508"/>
    <cellStyle name="_Chelan Debt Forecast 12.19.05_Book4 2 2" xfId="5501"/>
    <cellStyle name="_Chelan Debt Forecast 12.19.05_Book4 3" xfId="5502"/>
    <cellStyle name="_Chelan Debt Forecast 12.19.05_Book9" xfId="509"/>
    <cellStyle name="_Chelan Debt Forecast 12.19.05_Book9 2" xfId="510"/>
    <cellStyle name="_Chelan Debt Forecast 12.19.05_Book9 2 2" xfId="5503"/>
    <cellStyle name="_Chelan Debt Forecast 12.19.05_Book9 3" xfId="5504"/>
    <cellStyle name="_Chelan Debt Forecast 12.19.05_Exhibit D fr R Gho 12-31-08" xfId="511"/>
    <cellStyle name="_Chelan Debt Forecast 12.19.05_Exhibit D fr R Gho 12-31-08 2" xfId="512"/>
    <cellStyle name="_Chelan Debt Forecast 12.19.05_Exhibit D fr R Gho 12-31-08 v2" xfId="513"/>
    <cellStyle name="_Chelan Debt Forecast 12.19.05_Exhibit D fr R Gho 12-31-08 v2 2" xfId="514"/>
    <cellStyle name="_Chelan Debt Forecast 12.19.05_Exhibit D fr R Gho 12-31-08 v2_NIM Summary" xfId="515"/>
    <cellStyle name="_Chelan Debt Forecast 12.19.05_Exhibit D fr R Gho 12-31-08 v2_NIM Summary 2" xfId="516"/>
    <cellStyle name="_Chelan Debt Forecast 12.19.05_Exhibit D fr R Gho 12-31-08_NIM Summary" xfId="517"/>
    <cellStyle name="_Chelan Debt Forecast 12.19.05_Exhibit D fr R Gho 12-31-08_NIM Summary 2" xfId="518"/>
    <cellStyle name="_Chelan Debt Forecast 12.19.05_Hopkins Ridge Prepaid Tran - Interest Earned RY 12ME Feb  '11" xfId="519"/>
    <cellStyle name="_Chelan Debt Forecast 12.19.05_Hopkins Ridge Prepaid Tran - Interest Earned RY 12ME Feb  '11 2" xfId="520"/>
    <cellStyle name="_Chelan Debt Forecast 12.19.05_Hopkins Ridge Prepaid Tran - Interest Earned RY 12ME Feb  '11_NIM Summary" xfId="521"/>
    <cellStyle name="_Chelan Debt Forecast 12.19.05_Hopkins Ridge Prepaid Tran - Interest Earned RY 12ME Feb  '11_NIM Summary 2" xfId="522"/>
    <cellStyle name="_Chelan Debt Forecast 12.19.05_Hopkins Ridge Prepaid Tran - Interest Earned RY 12ME Feb  '11_Transmission Workbook for May BOD" xfId="523"/>
    <cellStyle name="_Chelan Debt Forecast 12.19.05_Hopkins Ridge Prepaid Tran - Interest Earned RY 12ME Feb  '11_Transmission Workbook for May BOD 2" xfId="524"/>
    <cellStyle name="_Chelan Debt Forecast 12.19.05_INPUTS" xfId="3712"/>
    <cellStyle name="_Chelan Debt Forecast 12.19.05_INPUTS 2" xfId="3713"/>
    <cellStyle name="_Chelan Debt Forecast 12.19.05_INPUTS 2 2" xfId="5505"/>
    <cellStyle name="_Chelan Debt Forecast 12.19.05_INPUTS 3" xfId="5506"/>
    <cellStyle name="_Chelan Debt Forecast 12.19.05_NIM Summary" xfId="525"/>
    <cellStyle name="_Chelan Debt Forecast 12.19.05_NIM Summary 09GRC" xfId="526"/>
    <cellStyle name="_Chelan Debt Forecast 12.19.05_NIM Summary 09GRC 2" xfId="527"/>
    <cellStyle name="_Chelan Debt Forecast 12.19.05_NIM Summary 2" xfId="528"/>
    <cellStyle name="_Chelan Debt Forecast 12.19.05_NIM Summary 3" xfId="529"/>
    <cellStyle name="_Chelan Debt Forecast 12.19.05_NIM Summary 4" xfId="3304"/>
    <cellStyle name="_Chelan Debt Forecast 12.19.05_NIM Summary 5" xfId="3305"/>
    <cellStyle name="_Chelan Debt Forecast 12.19.05_NIM Summary 6" xfId="3306"/>
    <cellStyle name="_Chelan Debt Forecast 12.19.05_NIM Summary 7" xfId="3307"/>
    <cellStyle name="_Chelan Debt Forecast 12.19.05_NIM Summary 8" xfId="3308"/>
    <cellStyle name="_Chelan Debt Forecast 12.19.05_NIM Summary 9" xfId="3309"/>
    <cellStyle name="_Chelan Debt Forecast 12.19.05_PCA 7 - Exhibit D update 11_30_08 (2)" xfId="530"/>
    <cellStyle name="_Chelan Debt Forecast 12.19.05_PCA 7 - Exhibit D update 11_30_08 (2) 2" xfId="531"/>
    <cellStyle name="_Chelan Debt Forecast 12.19.05_PCA 7 - Exhibit D update 11_30_08 (2) 2 2" xfId="532"/>
    <cellStyle name="_Chelan Debt Forecast 12.19.05_PCA 7 - Exhibit D update 11_30_08 (2) 3" xfId="533"/>
    <cellStyle name="_Chelan Debt Forecast 12.19.05_PCA 7 - Exhibit D update 11_30_08 (2)_NIM Summary" xfId="534"/>
    <cellStyle name="_Chelan Debt Forecast 12.19.05_PCA 7 - Exhibit D update 11_30_08 (2)_NIM Summary 2" xfId="535"/>
    <cellStyle name="_Chelan Debt Forecast 12.19.05_PCA 9 -  Exhibit D April 2010 (3)" xfId="536"/>
    <cellStyle name="_Chelan Debt Forecast 12.19.05_PCA 9 -  Exhibit D April 2010 (3) 2" xfId="537"/>
    <cellStyle name="_Chelan Debt Forecast 12.19.05_Power Costs - Comparison bx Rbtl-Staff-Jt-PC" xfId="538"/>
    <cellStyle name="_Chelan Debt Forecast 12.19.05_Power Costs - Comparison bx Rbtl-Staff-Jt-PC 2" xfId="539"/>
    <cellStyle name="_Chelan Debt Forecast 12.19.05_Power Costs - Comparison bx Rbtl-Staff-Jt-PC 2 2" xfId="5507"/>
    <cellStyle name="_Chelan Debt Forecast 12.19.05_Power Costs - Comparison bx Rbtl-Staff-Jt-PC 3" xfId="5508"/>
    <cellStyle name="_Chelan Debt Forecast 12.19.05_Power Costs - Comparison bx Rbtl-Staff-Jt-PC_Adj Bench DR 3 for Initial Briefs (Electric)" xfId="540"/>
    <cellStyle name="_Chelan Debt Forecast 12.19.05_Power Costs - Comparison bx Rbtl-Staff-Jt-PC_Adj Bench DR 3 for Initial Briefs (Electric) 2" xfId="541"/>
    <cellStyle name="_Chelan Debt Forecast 12.19.05_Power Costs - Comparison bx Rbtl-Staff-Jt-PC_Adj Bench DR 3 for Initial Briefs (Electric) 2 2" xfId="5509"/>
    <cellStyle name="_Chelan Debt Forecast 12.19.05_Power Costs - Comparison bx Rbtl-Staff-Jt-PC_Adj Bench DR 3 for Initial Briefs (Electric) 3" xfId="5510"/>
    <cellStyle name="_Chelan Debt Forecast 12.19.05_Power Costs - Comparison bx Rbtl-Staff-Jt-PC_Electric Rev Req Model (2009 GRC) Rebuttal" xfId="542"/>
    <cellStyle name="_Chelan Debt Forecast 12.19.05_Power Costs - Comparison bx Rbtl-Staff-Jt-PC_Electric Rev Req Model (2009 GRC) Rebuttal 2" xfId="3714"/>
    <cellStyle name="_Chelan Debt Forecast 12.19.05_Power Costs - Comparison bx Rbtl-Staff-Jt-PC_Electric Rev Req Model (2009 GRC) Rebuttal 2 2" xfId="5511"/>
    <cellStyle name="_Chelan Debt Forecast 12.19.05_Power Costs - Comparison bx Rbtl-Staff-Jt-PC_Electric Rev Req Model (2009 GRC) Rebuttal 3" xfId="5512"/>
    <cellStyle name="_Chelan Debt Forecast 12.19.05_Power Costs - Comparison bx Rbtl-Staff-Jt-PC_Electric Rev Req Model (2009 GRC) Rebuttal REmoval of New  WH Solar AdjustMI" xfId="543"/>
    <cellStyle name="_Chelan Debt Forecast 12.19.05_Power Costs - Comparison bx Rbtl-Staff-Jt-PC_Electric Rev Req Model (2009 GRC) Rebuttal REmoval of New  WH Solar AdjustMI 2" xfId="544"/>
    <cellStyle name="_Chelan Debt Forecast 12.19.05_Power Costs - Comparison bx Rbtl-Staff-Jt-PC_Electric Rev Req Model (2009 GRC) Rebuttal REmoval of New  WH Solar AdjustMI 2 2" xfId="5513"/>
    <cellStyle name="_Chelan Debt Forecast 12.19.05_Power Costs - Comparison bx Rbtl-Staff-Jt-PC_Electric Rev Req Model (2009 GRC) Rebuttal REmoval of New  WH Solar AdjustMI 3" xfId="5514"/>
    <cellStyle name="_Chelan Debt Forecast 12.19.05_Power Costs - Comparison bx Rbtl-Staff-Jt-PC_Electric Rev Req Model (2009 GRC) Revised 01-18-2010" xfId="545"/>
    <cellStyle name="_Chelan Debt Forecast 12.19.05_Power Costs - Comparison bx Rbtl-Staff-Jt-PC_Electric Rev Req Model (2009 GRC) Revised 01-18-2010 2" xfId="546"/>
    <cellStyle name="_Chelan Debt Forecast 12.19.05_Power Costs - Comparison bx Rbtl-Staff-Jt-PC_Electric Rev Req Model (2009 GRC) Revised 01-18-2010 2 2" xfId="5515"/>
    <cellStyle name="_Chelan Debt Forecast 12.19.05_Power Costs - Comparison bx Rbtl-Staff-Jt-PC_Electric Rev Req Model (2009 GRC) Revised 01-18-2010 3" xfId="5516"/>
    <cellStyle name="_Chelan Debt Forecast 12.19.05_Power Costs - Comparison bx Rbtl-Staff-Jt-PC_Final Order Electric EXHIBIT A-1" xfId="547"/>
    <cellStyle name="_Chelan Debt Forecast 12.19.05_Power Costs - Comparison bx Rbtl-Staff-Jt-PC_Final Order Electric EXHIBIT A-1 2" xfId="3715"/>
    <cellStyle name="_Chelan Debt Forecast 12.19.05_Power Costs - Comparison bx Rbtl-Staff-Jt-PC_Final Order Electric EXHIBIT A-1 2 2" xfId="5517"/>
    <cellStyle name="_Chelan Debt Forecast 12.19.05_Power Costs - Comparison bx Rbtl-Staff-Jt-PC_Final Order Electric EXHIBIT A-1 3" xfId="5518"/>
    <cellStyle name="_Chelan Debt Forecast 12.19.05_Production Adj 4.37" xfId="3716"/>
    <cellStyle name="_Chelan Debt Forecast 12.19.05_Production Adj 4.37 2" xfId="3717"/>
    <cellStyle name="_Chelan Debt Forecast 12.19.05_Production Adj 4.37 2 2" xfId="5519"/>
    <cellStyle name="_Chelan Debt Forecast 12.19.05_Production Adj 4.37 3" xfId="5520"/>
    <cellStyle name="_Chelan Debt Forecast 12.19.05_Purchased Power Adj 4.03" xfId="3718"/>
    <cellStyle name="_Chelan Debt Forecast 12.19.05_Purchased Power Adj 4.03 2" xfId="3719"/>
    <cellStyle name="_Chelan Debt Forecast 12.19.05_Purchased Power Adj 4.03 2 2" xfId="5521"/>
    <cellStyle name="_Chelan Debt Forecast 12.19.05_Purchased Power Adj 4.03 3" xfId="5522"/>
    <cellStyle name="_Chelan Debt Forecast 12.19.05_Rebuttal Power Costs" xfId="548"/>
    <cellStyle name="_Chelan Debt Forecast 12.19.05_Rebuttal Power Costs 2" xfId="549"/>
    <cellStyle name="_Chelan Debt Forecast 12.19.05_Rebuttal Power Costs 2 2" xfId="5523"/>
    <cellStyle name="_Chelan Debt Forecast 12.19.05_Rebuttal Power Costs 3" xfId="5524"/>
    <cellStyle name="_Chelan Debt Forecast 12.19.05_Rebuttal Power Costs_Adj Bench DR 3 for Initial Briefs (Electric)" xfId="550"/>
    <cellStyle name="_Chelan Debt Forecast 12.19.05_Rebuttal Power Costs_Adj Bench DR 3 for Initial Briefs (Electric) 2" xfId="551"/>
    <cellStyle name="_Chelan Debt Forecast 12.19.05_Rebuttal Power Costs_Adj Bench DR 3 for Initial Briefs (Electric) 2 2" xfId="5525"/>
    <cellStyle name="_Chelan Debt Forecast 12.19.05_Rebuttal Power Costs_Adj Bench DR 3 for Initial Briefs (Electric) 3" xfId="5526"/>
    <cellStyle name="_Chelan Debt Forecast 12.19.05_Rebuttal Power Costs_Electric Rev Req Model (2009 GRC) Rebuttal" xfId="552"/>
    <cellStyle name="_Chelan Debt Forecast 12.19.05_Rebuttal Power Costs_Electric Rev Req Model (2009 GRC) Rebuttal 2" xfId="3720"/>
    <cellStyle name="_Chelan Debt Forecast 12.19.05_Rebuttal Power Costs_Electric Rev Req Model (2009 GRC) Rebuttal 2 2" xfId="5527"/>
    <cellStyle name="_Chelan Debt Forecast 12.19.05_Rebuttal Power Costs_Electric Rev Req Model (2009 GRC) Rebuttal 3" xfId="5528"/>
    <cellStyle name="_Chelan Debt Forecast 12.19.05_Rebuttal Power Costs_Electric Rev Req Model (2009 GRC) Rebuttal REmoval of New  WH Solar AdjustMI" xfId="553"/>
    <cellStyle name="_Chelan Debt Forecast 12.19.05_Rebuttal Power Costs_Electric Rev Req Model (2009 GRC) Rebuttal REmoval of New  WH Solar AdjustMI 2" xfId="554"/>
    <cellStyle name="_Chelan Debt Forecast 12.19.05_Rebuttal Power Costs_Electric Rev Req Model (2009 GRC) Rebuttal REmoval of New  WH Solar AdjustMI 2 2" xfId="5529"/>
    <cellStyle name="_Chelan Debt Forecast 12.19.05_Rebuttal Power Costs_Electric Rev Req Model (2009 GRC) Rebuttal REmoval of New  WH Solar AdjustMI 3" xfId="5530"/>
    <cellStyle name="_Chelan Debt Forecast 12.19.05_Rebuttal Power Costs_Electric Rev Req Model (2009 GRC) Revised 01-18-2010" xfId="555"/>
    <cellStyle name="_Chelan Debt Forecast 12.19.05_Rebuttal Power Costs_Electric Rev Req Model (2009 GRC) Revised 01-18-2010 2" xfId="556"/>
    <cellStyle name="_Chelan Debt Forecast 12.19.05_Rebuttal Power Costs_Electric Rev Req Model (2009 GRC) Revised 01-18-2010 2 2" xfId="5531"/>
    <cellStyle name="_Chelan Debt Forecast 12.19.05_Rebuttal Power Costs_Electric Rev Req Model (2009 GRC) Revised 01-18-2010 3" xfId="5532"/>
    <cellStyle name="_Chelan Debt Forecast 12.19.05_Rebuttal Power Costs_Final Order Electric EXHIBIT A-1" xfId="557"/>
    <cellStyle name="_Chelan Debt Forecast 12.19.05_Rebuttal Power Costs_Final Order Electric EXHIBIT A-1 2" xfId="3721"/>
    <cellStyle name="_Chelan Debt Forecast 12.19.05_Rebuttal Power Costs_Final Order Electric EXHIBIT A-1 2 2" xfId="5533"/>
    <cellStyle name="_Chelan Debt Forecast 12.19.05_Rebuttal Power Costs_Final Order Electric EXHIBIT A-1 3" xfId="5534"/>
    <cellStyle name="_Chelan Debt Forecast 12.19.05_ROR &amp; CONV FACTOR" xfId="3722"/>
    <cellStyle name="_Chelan Debt Forecast 12.19.05_ROR &amp; CONV FACTOR 2" xfId="3723"/>
    <cellStyle name="_Chelan Debt Forecast 12.19.05_ROR &amp; CONV FACTOR 2 2" xfId="5535"/>
    <cellStyle name="_Chelan Debt Forecast 12.19.05_ROR &amp; CONV FACTOR 3" xfId="5536"/>
    <cellStyle name="_Chelan Debt Forecast 12.19.05_ROR 5.02" xfId="3724"/>
    <cellStyle name="_Chelan Debt Forecast 12.19.05_ROR 5.02 2" xfId="3725"/>
    <cellStyle name="_Chelan Debt Forecast 12.19.05_ROR 5.02 2 2" xfId="5537"/>
    <cellStyle name="_Chelan Debt Forecast 12.19.05_ROR 5.02 3" xfId="5538"/>
    <cellStyle name="_Chelan Debt Forecast 12.19.05_Transmission Workbook for May BOD" xfId="558"/>
    <cellStyle name="_Chelan Debt Forecast 12.19.05_Transmission Workbook for May BOD 2" xfId="559"/>
    <cellStyle name="_Chelan Debt Forecast 12.19.05_Wind Integration 10GRC" xfId="560"/>
    <cellStyle name="_Chelan Debt Forecast 12.19.05_Wind Integration 10GRC 2" xfId="561"/>
    <cellStyle name="_Copy 11-9 Sumas Proforma - Current" xfId="562"/>
    <cellStyle name="_Costs not in AURORA 06GRC" xfId="563"/>
    <cellStyle name="_Costs not in AURORA 06GRC 2" xfId="564"/>
    <cellStyle name="_Costs not in AURORA 06GRC 2 2" xfId="565"/>
    <cellStyle name="_Costs not in AURORA 06GRC 2 2 2" xfId="5539"/>
    <cellStyle name="_Costs not in AURORA 06GRC 2 3" xfId="5540"/>
    <cellStyle name="_Costs not in AURORA 06GRC 3" xfId="566"/>
    <cellStyle name="_Costs not in AURORA 06GRC 3 2" xfId="3726"/>
    <cellStyle name="_Costs not in AURORA 06GRC 3 2 2" xfId="5541"/>
    <cellStyle name="_Costs not in AURORA 06GRC 3 3" xfId="3727"/>
    <cellStyle name="_Costs not in AURORA 06GRC 3 3 2" xfId="5542"/>
    <cellStyle name="_Costs not in AURORA 06GRC 3 4" xfId="3728"/>
    <cellStyle name="_Costs not in AURORA 06GRC 3 4 2" xfId="5543"/>
    <cellStyle name="_Costs not in AURORA 06GRC 4" xfId="567"/>
    <cellStyle name="_Costs not in AURORA 06GRC 4 2" xfId="3310"/>
    <cellStyle name="_Costs not in AURORA 06GRC 5" xfId="5544"/>
    <cellStyle name="_Costs not in AURORA 06GRC_04 07E Wild Horse Wind Expansion (C) (2)" xfId="568"/>
    <cellStyle name="_Costs not in AURORA 06GRC_04 07E Wild Horse Wind Expansion (C) (2) 2" xfId="569"/>
    <cellStyle name="_Costs not in AURORA 06GRC_04 07E Wild Horse Wind Expansion (C) (2) 2 2" xfId="5545"/>
    <cellStyle name="_Costs not in AURORA 06GRC_04 07E Wild Horse Wind Expansion (C) (2) 3" xfId="5546"/>
    <cellStyle name="_Costs not in AURORA 06GRC_04 07E Wild Horse Wind Expansion (C) (2)_Adj Bench DR 3 for Initial Briefs (Electric)" xfId="570"/>
    <cellStyle name="_Costs not in AURORA 06GRC_04 07E Wild Horse Wind Expansion (C) (2)_Adj Bench DR 3 for Initial Briefs (Electric) 2" xfId="571"/>
    <cellStyle name="_Costs not in AURORA 06GRC_04 07E Wild Horse Wind Expansion (C) (2)_Adj Bench DR 3 for Initial Briefs (Electric) 2 2" xfId="5547"/>
    <cellStyle name="_Costs not in AURORA 06GRC_04 07E Wild Horse Wind Expansion (C) (2)_Adj Bench DR 3 for Initial Briefs (Electric) 3" xfId="5548"/>
    <cellStyle name="_Costs not in AURORA 06GRC_04 07E Wild Horse Wind Expansion (C) (2)_Electric Rev Req Model (2009 GRC) " xfId="572"/>
    <cellStyle name="_Costs not in AURORA 06GRC_04 07E Wild Horse Wind Expansion (C) (2)_Electric Rev Req Model (2009 GRC)  2" xfId="573"/>
    <cellStyle name="_Costs not in AURORA 06GRC_04 07E Wild Horse Wind Expansion (C) (2)_Electric Rev Req Model (2009 GRC)  2 2" xfId="5549"/>
    <cellStyle name="_Costs not in AURORA 06GRC_04 07E Wild Horse Wind Expansion (C) (2)_Electric Rev Req Model (2009 GRC)  3" xfId="5550"/>
    <cellStyle name="_Costs not in AURORA 06GRC_04 07E Wild Horse Wind Expansion (C) (2)_Electric Rev Req Model (2009 GRC) Rebuttal" xfId="574"/>
    <cellStyle name="_Costs not in AURORA 06GRC_04 07E Wild Horse Wind Expansion (C) (2)_Electric Rev Req Model (2009 GRC) Rebuttal 2" xfId="3729"/>
    <cellStyle name="_Costs not in AURORA 06GRC_04 07E Wild Horse Wind Expansion (C) (2)_Electric Rev Req Model (2009 GRC) Rebuttal 2 2" xfId="5551"/>
    <cellStyle name="_Costs not in AURORA 06GRC_04 07E Wild Horse Wind Expansion (C) (2)_Electric Rev Req Model (2009 GRC) Rebuttal 3" xfId="5552"/>
    <cellStyle name="_Costs not in AURORA 06GRC_04 07E Wild Horse Wind Expansion (C) (2)_Electric Rev Req Model (2009 GRC) Rebuttal REmoval of New  WH Solar AdjustMI" xfId="575"/>
    <cellStyle name="_Costs not in AURORA 06GRC_04 07E Wild Horse Wind Expansion (C) (2)_Electric Rev Req Model (2009 GRC) Rebuttal REmoval of New  WH Solar AdjustMI 2" xfId="576"/>
    <cellStyle name="_Costs not in AURORA 06GRC_04 07E Wild Horse Wind Expansion (C) (2)_Electric Rev Req Model (2009 GRC) Rebuttal REmoval of New  WH Solar AdjustMI 2 2" xfId="5553"/>
    <cellStyle name="_Costs not in AURORA 06GRC_04 07E Wild Horse Wind Expansion (C) (2)_Electric Rev Req Model (2009 GRC) Rebuttal REmoval of New  WH Solar AdjustMI 3" xfId="5554"/>
    <cellStyle name="_Costs not in AURORA 06GRC_04 07E Wild Horse Wind Expansion (C) (2)_Electric Rev Req Model (2009 GRC) Revised 01-18-2010" xfId="577"/>
    <cellStyle name="_Costs not in AURORA 06GRC_04 07E Wild Horse Wind Expansion (C) (2)_Electric Rev Req Model (2009 GRC) Revised 01-18-2010 2" xfId="578"/>
    <cellStyle name="_Costs not in AURORA 06GRC_04 07E Wild Horse Wind Expansion (C) (2)_Electric Rev Req Model (2009 GRC) Revised 01-18-2010 2 2" xfId="5555"/>
    <cellStyle name="_Costs not in AURORA 06GRC_04 07E Wild Horse Wind Expansion (C) (2)_Electric Rev Req Model (2009 GRC) Revised 01-18-2010 3" xfId="5556"/>
    <cellStyle name="_Costs not in AURORA 06GRC_04 07E Wild Horse Wind Expansion (C) (2)_Final Order Electric EXHIBIT A-1" xfId="579"/>
    <cellStyle name="_Costs not in AURORA 06GRC_04 07E Wild Horse Wind Expansion (C) (2)_Final Order Electric EXHIBIT A-1 2" xfId="3730"/>
    <cellStyle name="_Costs not in AURORA 06GRC_04 07E Wild Horse Wind Expansion (C) (2)_Final Order Electric EXHIBIT A-1 2 2" xfId="5557"/>
    <cellStyle name="_Costs not in AURORA 06GRC_04 07E Wild Horse Wind Expansion (C) (2)_Final Order Electric EXHIBIT A-1 3" xfId="5558"/>
    <cellStyle name="_Costs not in AURORA 06GRC_04 07E Wild Horse Wind Expansion (C) (2)_TENASKA REGULATORY ASSET" xfId="580"/>
    <cellStyle name="_Costs not in AURORA 06GRC_04 07E Wild Horse Wind Expansion (C) (2)_TENASKA REGULATORY ASSET 2" xfId="3731"/>
    <cellStyle name="_Costs not in AURORA 06GRC_04 07E Wild Horse Wind Expansion (C) (2)_TENASKA REGULATORY ASSET 2 2" xfId="5559"/>
    <cellStyle name="_Costs not in AURORA 06GRC_04 07E Wild Horse Wind Expansion (C) (2)_TENASKA REGULATORY ASSET 3" xfId="5560"/>
    <cellStyle name="_Costs not in AURORA 06GRC_16.37E Wild Horse Expansion DeferralRevwrkingfile SF" xfId="581"/>
    <cellStyle name="_Costs not in AURORA 06GRC_16.37E Wild Horse Expansion DeferralRevwrkingfile SF 2" xfId="582"/>
    <cellStyle name="_Costs not in AURORA 06GRC_16.37E Wild Horse Expansion DeferralRevwrkingfile SF 2 2" xfId="5561"/>
    <cellStyle name="_Costs not in AURORA 06GRC_16.37E Wild Horse Expansion DeferralRevwrkingfile SF 3" xfId="5562"/>
    <cellStyle name="_Costs not in AURORA 06GRC_2009 GRC Compl Filing - Exhibit D" xfId="583"/>
    <cellStyle name="_Costs not in AURORA 06GRC_2009 GRC Compl Filing - Exhibit D 2" xfId="584"/>
    <cellStyle name="_Costs not in AURORA 06GRC_4 31 Regulatory Assets and Liabilities  7 06- Exhibit D" xfId="585"/>
    <cellStyle name="_Costs not in AURORA 06GRC_4 31 Regulatory Assets and Liabilities  7 06- Exhibit D 2" xfId="586"/>
    <cellStyle name="_Costs not in AURORA 06GRC_4 31 Regulatory Assets and Liabilities  7 06- Exhibit D 2 2" xfId="5563"/>
    <cellStyle name="_Costs not in AURORA 06GRC_4 31 Regulatory Assets and Liabilities  7 06- Exhibit D 3" xfId="5564"/>
    <cellStyle name="_Costs not in AURORA 06GRC_4 31 Regulatory Assets and Liabilities  7 06- Exhibit D_NIM Summary" xfId="587"/>
    <cellStyle name="_Costs not in AURORA 06GRC_4 31 Regulatory Assets and Liabilities  7 06- Exhibit D_NIM Summary 2" xfId="588"/>
    <cellStyle name="_Costs not in AURORA 06GRC_4 32 Regulatory Assets and Liabilities  7 06- Exhibit D" xfId="589"/>
    <cellStyle name="_Costs not in AURORA 06GRC_4 32 Regulatory Assets and Liabilities  7 06- Exhibit D 2" xfId="590"/>
    <cellStyle name="_Costs not in AURORA 06GRC_4 32 Regulatory Assets and Liabilities  7 06- Exhibit D 2 2" xfId="5565"/>
    <cellStyle name="_Costs not in AURORA 06GRC_4 32 Regulatory Assets and Liabilities  7 06- Exhibit D 3" xfId="5566"/>
    <cellStyle name="_Costs not in AURORA 06GRC_4 32 Regulatory Assets and Liabilities  7 06- Exhibit D_NIM Summary" xfId="591"/>
    <cellStyle name="_Costs not in AURORA 06GRC_4 32 Regulatory Assets and Liabilities  7 06- Exhibit D_NIM Summary 2" xfId="592"/>
    <cellStyle name="_Costs not in AURORA 06GRC_AURORA Total New" xfId="593"/>
    <cellStyle name="_Costs not in AURORA 06GRC_AURORA Total New 2" xfId="594"/>
    <cellStyle name="_Costs not in AURORA 06GRC_Book2" xfId="595"/>
    <cellStyle name="_Costs not in AURORA 06GRC_Book2 2" xfId="596"/>
    <cellStyle name="_Costs not in AURORA 06GRC_Book2 2 2" xfId="5567"/>
    <cellStyle name="_Costs not in AURORA 06GRC_Book2 3" xfId="5568"/>
    <cellStyle name="_Costs not in AURORA 06GRC_Book2_Adj Bench DR 3 for Initial Briefs (Electric)" xfId="597"/>
    <cellStyle name="_Costs not in AURORA 06GRC_Book2_Adj Bench DR 3 for Initial Briefs (Electric) 2" xfId="598"/>
    <cellStyle name="_Costs not in AURORA 06GRC_Book2_Adj Bench DR 3 for Initial Briefs (Electric) 2 2" xfId="5569"/>
    <cellStyle name="_Costs not in AURORA 06GRC_Book2_Adj Bench DR 3 for Initial Briefs (Electric) 3" xfId="5570"/>
    <cellStyle name="_Costs not in AURORA 06GRC_Book2_Electric Rev Req Model (2009 GRC) Rebuttal" xfId="599"/>
    <cellStyle name="_Costs not in AURORA 06GRC_Book2_Electric Rev Req Model (2009 GRC) Rebuttal 2" xfId="3732"/>
    <cellStyle name="_Costs not in AURORA 06GRC_Book2_Electric Rev Req Model (2009 GRC) Rebuttal 2 2" xfId="5571"/>
    <cellStyle name="_Costs not in AURORA 06GRC_Book2_Electric Rev Req Model (2009 GRC) Rebuttal 3" xfId="5572"/>
    <cellStyle name="_Costs not in AURORA 06GRC_Book2_Electric Rev Req Model (2009 GRC) Rebuttal REmoval of New  WH Solar AdjustMI" xfId="600"/>
    <cellStyle name="_Costs not in AURORA 06GRC_Book2_Electric Rev Req Model (2009 GRC) Rebuttal REmoval of New  WH Solar AdjustMI 2" xfId="601"/>
    <cellStyle name="_Costs not in AURORA 06GRC_Book2_Electric Rev Req Model (2009 GRC) Rebuttal REmoval of New  WH Solar AdjustMI 2 2" xfId="5573"/>
    <cellStyle name="_Costs not in AURORA 06GRC_Book2_Electric Rev Req Model (2009 GRC) Rebuttal REmoval of New  WH Solar AdjustMI 3" xfId="5574"/>
    <cellStyle name="_Costs not in AURORA 06GRC_Book2_Electric Rev Req Model (2009 GRC) Revised 01-18-2010" xfId="602"/>
    <cellStyle name="_Costs not in AURORA 06GRC_Book2_Electric Rev Req Model (2009 GRC) Revised 01-18-2010 2" xfId="603"/>
    <cellStyle name="_Costs not in AURORA 06GRC_Book2_Electric Rev Req Model (2009 GRC) Revised 01-18-2010 2 2" xfId="5575"/>
    <cellStyle name="_Costs not in AURORA 06GRC_Book2_Electric Rev Req Model (2009 GRC) Revised 01-18-2010 3" xfId="5576"/>
    <cellStyle name="_Costs not in AURORA 06GRC_Book2_Final Order Electric EXHIBIT A-1" xfId="604"/>
    <cellStyle name="_Costs not in AURORA 06GRC_Book2_Final Order Electric EXHIBIT A-1 2" xfId="3733"/>
    <cellStyle name="_Costs not in AURORA 06GRC_Book2_Final Order Electric EXHIBIT A-1 2 2" xfId="5577"/>
    <cellStyle name="_Costs not in AURORA 06GRC_Book2_Final Order Electric EXHIBIT A-1 3" xfId="5578"/>
    <cellStyle name="_Costs not in AURORA 06GRC_Book4" xfId="605"/>
    <cellStyle name="_Costs not in AURORA 06GRC_Book4 2" xfId="606"/>
    <cellStyle name="_Costs not in AURORA 06GRC_Book4 2 2" xfId="5579"/>
    <cellStyle name="_Costs not in AURORA 06GRC_Book4 3" xfId="5580"/>
    <cellStyle name="_Costs not in AURORA 06GRC_Book9" xfId="607"/>
    <cellStyle name="_Costs not in AURORA 06GRC_Book9 2" xfId="608"/>
    <cellStyle name="_Costs not in AURORA 06GRC_Book9 2 2" xfId="5581"/>
    <cellStyle name="_Costs not in AURORA 06GRC_Book9 3" xfId="5582"/>
    <cellStyle name="_Costs not in AURORA 06GRC_Exhibit D fr R Gho 12-31-08" xfId="609"/>
    <cellStyle name="_Costs not in AURORA 06GRC_Exhibit D fr R Gho 12-31-08 2" xfId="610"/>
    <cellStyle name="_Costs not in AURORA 06GRC_Exhibit D fr R Gho 12-31-08 v2" xfId="611"/>
    <cellStyle name="_Costs not in AURORA 06GRC_Exhibit D fr R Gho 12-31-08 v2 2" xfId="612"/>
    <cellStyle name="_Costs not in AURORA 06GRC_Exhibit D fr R Gho 12-31-08 v2_NIM Summary" xfId="613"/>
    <cellStyle name="_Costs not in AURORA 06GRC_Exhibit D fr R Gho 12-31-08 v2_NIM Summary 2" xfId="614"/>
    <cellStyle name="_Costs not in AURORA 06GRC_Exhibit D fr R Gho 12-31-08_NIM Summary" xfId="615"/>
    <cellStyle name="_Costs not in AURORA 06GRC_Exhibit D fr R Gho 12-31-08_NIM Summary 2" xfId="616"/>
    <cellStyle name="_Costs not in AURORA 06GRC_Hopkins Ridge Prepaid Tran - Interest Earned RY 12ME Feb  '11" xfId="617"/>
    <cellStyle name="_Costs not in AURORA 06GRC_Hopkins Ridge Prepaid Tran - Interest Earned RY 12ME Feb  '11 2" xfId="618"/>
    <cellStyle name="_Costs not in AURORA 06GRC_Hopkins Ridge Prepaid Tran - Interest Earned RY 12ME Feb  '11_NIM Summary" xfId="619"/>
    <cellStyle name="_Costs not in AURORA 06GRC_Hopkins Ridge Prepaid Tran - Interest Earned RY 12ME Feb  '11_NIM Summary 2" xfId="620"/>
    <cellStyle name="_Costs not in AURORA 06GRC_Hopkins Ridge Prepaid Tran - Interest Earned RY 12ME Feb  '11_Transmission Workbook for May BOD" xfId="621"/>
    <cellStyle name="_Costs not in AURORA 06GRC_Hopkins Ridge Prepaid Tran - Interest Earned RY 12ME Feb  '11_Transmission Workbook for May BOD 2" xfId="622"/>
    <cellStyle name="_Costs not in AURORA 06GRC_INPUTS" xfId="3734"/>
    <cellStyle name="_Costs not in AURORA 06GRC_INPUTS 2" xfId="3735"/>
    <cellStyle name="_Costs not in AURORA 06GRC_INPUTS 2 2" xfId="5583"/>
    <cellStyle name="_Costs not in AURORA 06GRC_INPUTS 3" xfId="5584"/>
    <cellStyle name="_Costs not in AURORA 06GRC_NIM Summary" xfId="623"/>
    <cellStyle name="_Costs not in AURORA 06GRC_NIM Summary 09GRC" xfId="624"/>
    <cellStyle name="_Costs not in AURORA 06GRC_NIM Summary 09GRC 2" xfId="625"/>
    <cellStyle name="_Costs not in AURORA 06GRC_NIM Summary 2" xfId="626"/>
    <cellStyle name="_Costs not in AURORA 06GRC_NIM Summary 3" xfId="627"/>
    <cellStyle name="_Costs not in AURORA 06GRC_NIM Summary 4" xfId="3311"/>
    <cellStyle name="_Costs not in AURORA 06GRC_NIM Summary 5" xfId="3312"/>
    <cellStyle name="_Costs not in AURORA 06GRC_NIM Summary 6" xfId="3313"/>
    <cellStyle name="_Costs not in AURORA 06GRC_NIM Summary 7" xfId="3314"/>
    <cellStyle name="_Costs not in AURORA 06GRC_NIM Summary 8" xfId="3315"/>
    <cellStyle name="_Costs not in AURORA 06GRC_NIM Summary 9" xfId="3316"/>
    <cellStyle name="_Costs not in AURORA 06GRC_PCA 7 - Exhibit D update 11_30_08 (2)" xfId="628"/>
    <cellStyle name="_Costs not in AURORA 06GRC_PCA 7 - Exhibit D update 11_30_08 (2) 2" xfId="629"/>
    <cellStyle name="_Costs not in AURORA 06GRC_PCA 7 - Exhibit D update 11_30_08 (2) 2 2" xfId="630"/>
    <cellStyle name="_Costs not in AURORA 06GRC_PCA 7 - Exhibit D update 11_30_08 (2) 3" xfId="631"/>
    <cellStyle name="_Costs not in AURORA 06GRC_PCA 7 - Exhibit D update 11_30_08 (2)_NIM Summary" xfId="632"/>
    <cellStyle name="_Costs not in AURORA 06GRC_PCA 7 - Exhibit D update 11_30_08 (2)_NIM Summary 2" xfId="633"/>
    <cellStyle name="_Costs not in AURORA 06GRC_PCA 9 -  Exhibit D April 2010 (3)" xfId="634"/>
    <cellStyle name="_Costs not in AURORA 06GRC_PCA 9 -  Exhibit D April 2010 (3) 2" xfId="635"/>
    <cellStyle name="_Costs not in AURORA 06GRC_Power Costs - Comparison bx Rbtl-Staff-Jt-PC" xfId="636"/>
    <cellStyle name="_Costs not in AURORA 06GRC_Power Costs - Comparison bx Rbtl-Staff-Jt-PC 2" xfId="637"/>
    <cellStyle name="_Costs not in AURORA 06GRC_Power Costs - Comparison bx Rbtl-Staff-Jt-PC 2 2" xfId="5585"/>
    <cellStyle name="_Costs not in AURORA 06GRC_Power Costs - Comparison bx Rbtl-Staff-Jt-PC 3" xfId="5586"/>
    <cellStyle name="_Costs not in AURORA 06GRC_Power Costs - Comparison bx Rbtl-Staff-Jt-PC_Adj Bench DR 3 for Initial Briefs (Electric)" xfId="638"/>
    <cellStyle name="_Costs not in AURORA 06GRC_Power Costs - Comparison bx Rbtl-Staff-Jt-PC_Adj Bench DR 3 for Initial Briefs (Electric) 2" xfId="639"/>
    <cellStyle name="_Costs not in AURORA 06GRC_Power Costs - Comparison bx Rbtl-Staff-Jt-PC_Adj Bench DR 3 for Initial Briefs (Electric) 2 2" xfId="5587"/>
    <cellStyle name="_Costs not in AURORA 06GRC_Power Costs - Comparison bx Rbtl-Staff-Jt-PC_Adj Bench DR 3 for Initial Briefs (Electric) 3" xfId="5588"/>
    <cellStyle name="_Costs not in AURORA 06GRC_Power Costs - Comparison bx Rbtl-Staff-Jt-PC_Electric Rev Req Model (2009 GRC) Rebuttal" xfId="640"/>
    <cellStyle name="_Costs not in AURORA 06GRC_Power Costs - Comparison bx Rbtl-Staff-Jt-PC_Electric Rev Req Model (2009 GRC) Rebuttal 2" xfId="3736"/>
    <cellStyle name="_Costs not in AURORA 06GRC_Power Costs - Comparison bx Rbtl-Staff-Jt-PC_Electric Rev Req Model (2009 GRC) Rebuttal 2 2" xfId="5589"/>
    <cellStyle name="_Costs not in AURORA 06GRC_Power Costs - Comparison bx Rbtl-Staff-Jt-PC_Electric Rev Req Model (2009 GRC) Rebuttal 3" xfId="5590"/>
    <cellStyle name="_Costs not in AURORA 06GRC_Power Costs - Comparison bx Rbtl-Staff-Jt-PC_Electric Rev Req Model (2009 GRC) Rebuttal REmoval of New  WH Solar AdjustMI" xfId="641"/>
    <cellStyle name="_Costs not in AURORA 06GRC_Power Costs - Comparison bx Rbtl-Staff-Jt-PC_Electric Rev Req Model (2009 GRC) Rebuttal REmoval of New  WH Solar AdjustMI 2" xfId="642"/>
    <cellStyle name="_Costs not in AURORA 06GRC_Power Costs - Comparison bx Rbtl-Staff-Jt-PC_Electric Rev Req Model (2009 GRC) Rebuttal REmoval of New  WH Solar AdjustMI 2 2" xfId="5591"/>
    <cellStyle name="_Costs not in AURORA 06GRC_Power Costs - Comparison bx Rbtl-Staff-Jt-PC_Electric Rev Req Model (2009 GRC) Rebuttal REmoval of New  WH Solar AdjustMI 3" xfId="5592"/>
    <cellStyle name="_Costs not in AURORA 06GRC_Power Costs - Comparison bx Rbtl-Staff-Jt-PC_Electric Rev Req Model (2009 GRC) Revised 01-18-2010" xfId="643"/>
    <cellStyle name="_Costs not in AURORA 06GRC_Power Costs - Comparison bx Rbtl-Staff-Jt-PC_Electric Rev Req Model (2009 GRC) Revised 01-18-2010 2" xfId="644"/>
    <cellStyle name="_Costs not in AURORA 06GRC_Power Costs - Comparison bx Rbtl-Staff-Jt-PC_Electric Rev Req Model (2009 GRC) Revised 01-18-2010 2 2" xfId="5593"/>
    <cellStyle name="_Costs not in AURORA 06GRC_Power Costs - Comparison bx Rbtl-Staff-Jt-PC_Electric Rev Req Model (2009 GRC) Revised 01-18-2010 3" xfId="5594"/>
    <cellStyle name="_Costs not in AURORA 06GRC_Power Costs - Comparison bx Rbtl-Staff-Jt-PC_Final Order Electric EXHIBIT A-1" xfId="645"/>
    <cellStyle name="_Costs not in AURORA 06GRC_Power Costs - Comparison bx Rbtl-Staff-Jt-PC_Final Order Electric EXHIBIT A-1 2" xfId="3737"/>
    <cellStyle name="_Costs not in AURORA 06GRC_Power Costs - Comparison bx Rbtl-Staff-Jt-PC_Final Order Electric EXHIBIT A-1 2 2" xfId="5595"/>
    <cellStyle name="_Costs not in AURORA 06GRC_Power Costs - Comparison bx Rbtl-Staff-Jt-PC_Final Order Electric EXHIBIT A-1 3" xfId="5596"/>
    <cellStyle name="_Costs not in AURORA 06GRC_Production Adj 4.37" xfId="3738"/>
    <cellStyle name="_Costs not in AURORA 06GRC_Production Adj 4.37 2" xfId="3739"/>
    <cellStyle name="_Costs not in AURORA 06GRC_Production Adj 4.37 2 2" xfId="5597"/>
    <cellStyle name="_Costs not in AURORA 06GRC_Production Adj 4.37 3" xfId="5598"/>
    <cellStyle name="_Costs not in AURORA 06GRC_Purchased Power Adj 4.03" xfId="3740"/>
    <cellStyle name="_Costs not in AURORA 06GRC_Purchased Power Adj 4.03 2" xfId="3741"/>
    <cellStyle name="_Costs not in AURORA 06GRC_Purchased Power Adj 4.03 2 2" xfId="5599"/>
    <cellStyle name="_Costs not in AURORA 06GRC_Purchased Power Adj 4.03 3" xfId="5600"/>
    <cellStyle name="_Costs not in AURORA 06GRC_Rebuttal Power Costs" xfId="646"/>
    <cellStyle name="_Costs not in AURORA 06GRC_Rebuttal Power Costs 2" xfId="647"/>
    <cellStyle name="_Costs not in AURORA 06GRC_Rebuttal Power Costs 2 2" xfId="5601"/>
    <cellStyle name="_Costs not in AURORA 06GRC_Rebuttal Power Costs 3" xfId="5602"/>
    <cellStyle name="_Costs not in AURORA 06GRC_Rebuttal Power Costs_Adj Bench DR 3 for Initial Briefs (Electric)" xfId="648"/>
    <cellStyle name="_Costs not in AURORA 06GRC_Rebuttal Power Costs_Adj Bench DR 3 for Initial Briefs (Electric) 2" xfId="649"/>
    <cellStyle name="_Costs not in AURORA 06GRC_Rebuttal Power Costs_Adj Bench DR 3 for Initial Briefs (Electric) 2 2" xfId="5603"/>
    <cellStyle name="_Costs not in AURORA 06GRC_Rebuttal Power Costs_Adj Bench DR 3 for Initial Briefs (Electric) 3" xfId="5604"/>
    <cellStyle name="_Costs not in AURORA 06GRC_Rebuttal Power Costs_Electric Rev Req Model (2009 GRC) Rebuttal" xfId="650"/>
    <cellStyle name="_Costs not in AURORA 06GRC_Rebuttal Power Costs_Electric Rev Req Model (2009 GRC) Rebuttal 2" xfId="3742"/>
    <cellStyle name="_Costs not in AURORA 06GRC_Rebuttal Power Costs_Electric Rev Req Model (2009 GRC) Rebuttal 2 2" xfId="5605"/>
    <cellStyle name="_Costs not in AURORA 06GRC_Rebuttal Power Costs_Electric Rev Req Model (2009 GRC) Rebuttal 3" xfId="5606"/>
    <cellStyle name="_Costs not in AURORA 06GRC_Rebuttal Power Costs_Electric Rev Req Model (2009 GRC) Rebuttal REmoval of New  WH Solar AdjustMI" xfId="651"/>
    <cellStyle name="_Costs not in AURORA 06GRC_Rebuttal Power Costs_Electric Rev Req Model (2009 GRC) Rebuttal REmoval of New  WH Solar AdjustMI 2" xfId="652"/>
    <cellStyle name="_Costs not in AURORA 06GRC_Rebuttal Power Costs_Electric Rev Req Model (2009 GRC) Rebuttal REmoval of New  WH Solar AdjustMI 2 2" xfId="5607"/>
    <cellStyle name="_Costs not in AURORA 06GRC_Rebuttal Power Costs_Electric Rev Req Model (2009 GRC) Rebuttal REmoval of New  WH Solar AdjustMI 3" xfId="5608"/>
    <cellStyle name="_Costs not in AURORA 06GRC_Rebuttal Power Costs_Electric Rev Req Model (2009 GRC) Revised 01-18-2010" xfId="653"/>
    <cellStyle name="_Costs not in AURORA 06GRC_Rebuttal Power Costs_Electric Rev Req Model (2009 GRC) Revised 01-18-2010 2" xfId="654"/>
    <cellStyle name="_Costs not in AURORA 06GRC_Rebuttal Power Costs_Electric Rev Req Model (2009 GRC) Revised 01-18-2010 2 2" xfId="5609"/>
    <cellStyle name="_Costs not in AURORA 06GRC_Rebuttal Power Costs_Electric Rev Req Model (2009 GRC) Revised 01-18-2010 3" xfId="5610"/>
    <cellStyle name="_Costs not in AURORA 06GRC_Rebuttal Power Costs_Final Order Electric EXHIBIT A-1" xfId="655"/>
    <cellStyle name="_Costs not in AURORA 06GRC_Rebuttal Power Costs_Final Order Electric EXHIBIT A-1 2" xfId="3743"/>
    <cellStyle name="_Costs not in AURORA 06GRC_Rebuttal Power Costs_Final Order Electric EXHIBIT A-1 2 2" xfId="5611"/>
    <cellStyle name="_Costs not in AURORA 06GRC_Rebuttal Power Costs_Final Order Electric EXHIBIT A-1 3" xfId="5612"/>
    <cellStyle name="_Costs not in AURORA 06GRC_ROR &amp; CONV FACTOR" xfId="3744"/>
    <cellStyle name="_Costs not in AURORA 06GRC_ROR &amp; CONV FACTOR 2" xfId="3745"/>
    <cellStyle name="_Costs not in AURORA 06GRC_ROR &amp; CONV FACTOR 2 2" xfId="5613"/>
    <cellStyle name="_Costs not in AURORA 06GRC_ROR &amp; CONV FACTOR 3" xfId="5614"/>
    <cellStyle name="_Costs not in AURORA 06GRC_ROR 5.02" xfId="3746"/>
    <cellStyle name="_Costs not in AURORA 06GRC_ROR 5.02 2" xfId="3747"/>
    <cellStyle name="_Costs not in AURORA 06GRC_ROR 5.02 2 2" xfId="5615"/>
    <cellStyle name="_Costs not in AURORA 06GRC_ROR 5.02 3" xfId="5616"/>
    <cellStyle name="_Costs not in AURORA 06GRC_Transmission Workbook for May BOD" xfId="656"/>
    <cellStyle name="_Costs not in AURORA 06GRC_Transmission Workbook for May BOD 2" xfId="657"/>
    <cellStyle name="_Costs not in AURORA 06GRC_Wind Integration 10GRC" xfId="658"/>
    <cellStyle name="_Costs not in AURORA 06GRC_Wind Integration 10GRC 2" xfId="659"/>
    <cellStyle name="_Costs not in AURORA 2006GRC 6.15.06" xfId="660"/>
    <cellStyle name="_Costs not in AURORA 2006GRC 6.15.06 2" xfId="661"/>
    <cellStyle name="_Costs not in AURORA 2006GRC 6.15.06 2 2" xfId="662"/>
    <cellStyle name="_Costs not in AURORA 2006GRC 6.15.06 2 2 2" xfId="5617"/>
    <cellStyle name="_Costs not in AURORA 2006GRC 6.15.06 2 3" xfId="5618"/>
    <cellStyle name="_Costs not in AURORA 2006GRC 6.15.06 3" xfId="663"/>
    <cellStyle name="_Costs not in AURORA 2006GRC 6.15.06 3 2" xfId="3748"/>
    <cellStyle name="_Costs not in AURORA 2006GRC 6.15.06 3 2 2" xfId="5619"/>
    <cellStyle name="_Costs not in AURORA 2006GRC 6.15.06 3 3" xfId="3749"/>
    <cellStyle name="_Costs not in AURORA 2006GRC 6.15.06 3 3 2" xfId="5620"/>
    <cellStyle name="_Costs not in AURORA 2006GRC 6.15.06 3 4" xfId="3750"/>
    <cellStyle name="_Costs not in AURORA 2006GRC 6.15.06 3 4 2" xfId="5621"/>
    <cellStyle name="_Costs not in AURORA 2006GRC 6.15.06 4" xfId="664"/>
    <cellStyle name="_Costs not in AURORA 2006GRC 6.15.06 4 2" xfId="3317"/>
    <cellStyle name="_Costs not in AURORA 2006GRC 6.15.06 5" xfId="5622"/>
    <cellStyle name="_Costs not in AURORA 2006GRC 6.15.06_04 07E Wild Horse Wind Expansion (C) (2)" xfId="665"/>
    <cellStyle name="_Costs not in AURORA 2006GRC 6.15.06_04 07E Wild Horse Wind Expansion (C) (2) 2" xfId="666"/>
    <cellStyle name="_Costs not in AURORA 2006GRC 6.15.06_04 07E Wild Horse Wind Expansion (C) (2) 2 2" xfId="5623"/>
    <cellStyle name="_Costs not in AURORA 2006GRC 6.15.06_04 07E Wild Horse Wind Expansion (C) (2) 3" xfId="5624"/>
    <cellStyle name="_Costs not in AURORA 2006GRC 6.15.06_04 07E Wild Horse Wind Expansion (C) (2)_Adj Bench DR 3 for Initial Briefs (Electric)" xfId="667"/>
    <cellStyle name="_Costs not in AURORA 2006GRC 6.15.06_04 07E Wild Horse Wind Expansion (C) (2)_Adj Bench DR 3 for Initial Briefs (Electric) 2" xfId="668"/>
    <cellStyle name="_Costs not in AURORA 2006GRC 6.15.06_04 07E Wild Horse Wind Expansion (C) (2)_Adj Bench DR 3 for Initial Briefs (Electric) 2 2" xfId="5625"/>
    <cellStyle name="_Costs not in AURORA 2006GRC 6.15.06_04 07E Wild Horse Wind Expansion (C) (2)_Adj Bench DR 3 for Initial Briefs (Electric) 3" xfId="5626"/>
    <cellStyle name="_Costs not in AURORA 2006GRC 6.15.06_04 07E Wild Horse Wind Expansion (C) (2)_Electric Rev Req Model (2009 GRC) " xfId="669"/>
    <cellStyle name="_Costs not in AURORA 2006GRC 6.15.06_04 07E Wild Horse Wind Expansion (C) (2)_Electric Rev Req Model (2009 GRC)  2" xfId="670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3" xfId="5628"/>
    <cellStyle name="_Costs not in AURORA 2006GRC 6.15.06_04 07E Wild Horse Wind Expansion (C) (2)_Electric Rev Req Model (2009 GRC) Rebuttal" xfId="671"/>
    <cellStyle name="_Costs not in AURORA 2006GRC 6.15.06_04 07E Wild Horse Wind Expansion (C) (2)_Electric Rev Req Model (2009 GRC) Rebuttal 2" xfId="3751"/>
    <cellStyle name="_Costs not in AURORA 2006GRC 6.15.06_04 07E Wild Horse Wind Expansion (C) (2)_Electric Rev Req Model (2009 GRC) Rebuttal 2 2" xfId="5629"/>
    <cellStyle name="_Costs not in AURORA 2006GRC 6.15.06_04 07E Wild Horse Wind Expansion (C) (2)_Electric Rev Req Model (2009 GRC) Rebuttal 3" xfId="5630"/>
    <cellStyle name="_Costs not in AURORA 2006GRC 6.15.06_04 07E Wild Horse Wind Expansion (C) (2)_Electric Rev Req Model (2009 GRC) Rebuttal REmoval of New  WH Solar AdjustMI" xfId="672"/>
    <cellStyle name="_Costs not in AURORA 2006GRC 6.15.06_04 07E Wild Horse Wind Expansion (C) (2)_Electric Rev Req Model (2009 GRC) Rebuttal REmoval of New  WH Solar AdjustMI 2" xfId="673"/>
    <cellStyle name="_Costs not in AURORA 2006GRC 6.15.06_04 07E Wild Horse Wind Expansion (C) (2)_Electric Rev Req Model (2009 GRC) Rebuttal REmoval of New  WH Solar AdjustMI 2 2" xfId="5631"/>
    <cellStyle name="_Costs not in AURORA 2006GRC 6.15.06_04 07E Wild Horse Wind Expansion (C) (2)_Electric Rev Req Model (2009 GRC) Rebuttal REmoval of New  WH Solar AdjustMI 3" xfId="5632"/>
    <cellStyle name="_Costs not in AURORA 2006GRC 6.15.06_04 07E Wild Horse Wind Expansion (C) (2)_Electric Rev Req Model (2009 GRC) Revised 01-18-2010" xfId="674"/>
    <cellStyle name="_Costs not in AURORA 2006GRC 6.15.06_04 07E Wild Horse Wind Expansion (C) (2)_Electric Rev Req Model (2009 GRC) Revised 01-18-2010 2" xfId="675"/>
    <cellStyle name="_Costs not in AURORA 2006GRC 6.15.06_04 07E Wild Horse Wind Expansion (C) (2)_Electric Rev Req Model (2009 GRC) Revised 01-18-2010 2 2" xfId="5633"/>
    <cellStyle name="_Costs not in AURORA 2006GRC 6.15.06_04 07E Wild Horse Wind Expansion (C) (2)_Electric Rev Req Model (2009 GRC) Revised 01-18-2010 3" xfId="5634"/>
    <cellStyle name="_Costs not in AURORA 2006GRC 6.15.06_04 07E Wild Horse Wind Expansion (C) (2)_Final Order Electric EXHIBIT A-1" xfId="676"/>
    <cellStyle name="_Costs not in AURORA 2006GRC 6.15.06_04 07E Wild Horse Wind Expansion (C) (2)_Final Order Electric EXHIBIT A-1 2" xfId="3752"/>
    <cellStyle name="_Costs not in AURORA 2006GRC 6.15.06_04 07E Wild Horse Wind Expansion (C) (2)_Final Order Electric EXHIBIT A-1 2 2" xfId="5635"/>
    <cellStyle name="_Costs not in AURORA 2006GRC 6.15.06_04 07E Wild Horse Wind Expansion (C) (2)_Final Order Electric EXHIBIT A-1 3" xfId="5636"/>
    <cellStyle name="_Costs not in AURORA 2006GRC 6.15.06_04 07E Wild Horse Wind Expansion (C) (2)_TENASKA REGULATORY ASSET" xfId="677"/>
    <cellStyle name="_Costs not in AURORA 2006GRC 6.15.06_04 07E Wild Horse Wind Expansion (C) (2)_TENASKA REGULATORY ASSET 2" xfId="3753"/>
    <cellStyle name="_Costs not in AURORA 2006GRC 6.15.06_04 07E Wild Horse Wind Expansion (C) (2)_TENASKA REGULATORY ASSET 2 2" xfId="5637"/>
    <cellStyle name="_Costs not in AURORA 2006GRC 6.15.06_04 07E Wild Horse Wind Expansion (C) (2)_TENASKA REGULATORY ASSET 3" xfId="5638"/>
    <cellStyle name="_Costs not in AURORA 2006GRC 6.15.06_16.37E Wild Horse Expansion DeferralRevwrkingfile SF" xfId="678"/>
    <cellStyle name="_Costs not in AURORA 2006GRC 6.15.06_16.37E Wild Horse Expansion DeferralRevwrkingfile SF 2" xfId="679"/>
    <cellStyle name="_Costs not in AURORA 2006GRC 6.15.06_16.37E Wild Horse Expansion DeferralRevwrkingfile SF 2 2" xfId="5639"/>
    <cellStyle name="_Costs not in AURORA 2006GRC 6.15.06_16.37E Wild Horse Expansion DeferralRevwrkingfile SF 3" xfId="5640"/>
    <cellStyle name="_Costs not in AURORA 2006GRC 6.15.06_2009 GRC Compl Filing - Exhibit D" xfId="680"/>
    <cellStyle name="_Costs not in AURORA 2006GRC 6.15.06_2009 GRC Compl Filing - Exhibit D 2" xfId="681"/>
    <cellStyle name="_Costs not in AURORA 2006GRC 6.15.06_4 31 Regulatory Assets and Liabilities  7 06- Exhibit D" xfId="682"/>
    <cellStyle name="_Costs not in AURORA 2006GRC 6.15.06_4 31 Regulatory Assets and Liabilities  7 06- Exhibit D 2" xfId="683"/>
    <cellStyle name="_Costs not in AURORA 2006GRC 6.15.06_4 31 Regulatory Assets and Liabilities  7 06- Exhibit D 2 2" xfId="5641"/>
    <cellStyle name="_Costs not in AURORA 2006GRC 6.15.06_4 31 Regulatory Assets and Liabilities  7 06- Exhibit D 3" xfId="5642"/>
    <cellStyle name="_Costs not in AURORA 2006GRC 6.15.06_4 31 Regulatory Assets and Liabilities  7 06- Exhibit D_NIM Summary" xfId="684"/>
    <cellStyle name="_Costs not in AURORA 2006GRC 6.15.06_4 31 Regulatory Assets and Liabilities  7 06- Exhibit D_NIM Summary 2" xfId="685"/>
    <cellStyle name="_Costs not in AURORA 2006GRC 6.15.06_4 32 Regulatory Assets and Liabilities  7 06- Exhibit D" xfId="686"/>
    <cellStyle name="_Costs not in AURORA 2006GRC 6.15.06_4 32 Regulatory Assets and Liabilities  7 06- Exhibit D 2" xfId="687"/>
    <cellStyle name="_Costs not in AURORA 2006GRC 6.15.06_4 32 Regulatory Assets and Liabilities  7 06- Exhibit D 2 2" xfId="5643"/>
    <cellStyle name="_Costs not in AURORA 2006GRC 6.15.06_4 32 Regulatory Assets and Liabilities  7 06- Exhibit D 3" xfId="5644"/>
    <cellStyle name="_Costs not in AURORA 2006GRC 6.15.06_4 32 Regulatory Assets and Liabilities  7 06- Exhibit D_NIM Summary" xfId="688"/>
    <cellStyle name="_Costs not in AURORA 2006GRC 6.15.06_4 32 Regulatory Assets and Liabilities  7 06- Exhibit D_NIM Summary 2" xfId="689"/>
    <cellStyle name="_Costs not in AURORA 2006GRC 6.15.06_AURORA Total New" xfId="690"/>
    <cellStyle name="_Costs not in AURORA 2006GRC 6.15.06_AURORA Total New 2" xfId="691"/>
    <cellStyle name="_Costs not in AURORA 2006GRC 6.15.06_Book2" xfId="692"/>
    <cellStyle name="_Costs not in AURORA 2006GRC 6.15.06_Book2 2" xfId="693"/>
    <cellStyle name="_Costs not in AURORA 2006GRC 6.15.06_Book2 2 2" xfId="5645"/>
    <cellStyle name="_Costs not in AURORA 2006GRC 6.15.06_Book2 3" xfId="5646"/>
    <cellStyle name="_Costs not in AURORA 2006GRC 6.15.06_Book2_Adj Bench DR 3 for Initial Briefs (Electric)" xfId="694"/>
    <cellStyle name="_Costs not in AURORA 2006GRC 6.15.06_Book2_Adj Bench DR 3 for Initial Briefs (Electric) 2" xfId="695"/>
    <cellStyle name="_Costs not in AURORA 2006GRC 6.15.06_Book2_Adj Bench DR 3 for Initial Briefs (Electric) 2 2" xfId="5647"/>
    <cellStyle name="_Costs not in AURORA 2006GRC 6.15.06_Book2_Adj Bench DR 3 for Initial Briefs (Electric) 3" xfId="5648"/>
    <cellStyle name="_Costs not in AURORA 2006GRC 6.15.06_Book2_Electric Rev Req Model (2009 GRC) Rebuttal" xfId="696"/>
    <cellStyle name="_Costs not in AURORA 2006GRC 6.15.06_Book2_Electric Rev Req Model (2009 GRC) Rebuttal 2" xfId="3754"/>
    <cellStyle name="_Costs not in AURORA 2006GRC 6.15.06_Book2_Electric Rev Req Model (2009 GRC) Rebuttal 2 2" xfId="5649"/>
    <cellStyle name="_Costs not in AURORA 2006GRC 6.15.06_Book2_Electric Rev Req Model (2009 GRC) Rebuttal 3" xfId="5650"/>
    <cellStyle name="_Costs not in AURORA 2006GRC 6.15.06_Book2_Electric Rev Req Model (2009 GRC) Rebuttal REmoval of New  WH Solar AdjustMI" xfId="697"/>
    <cellStyle name="_Costs not in AURORA 2006GRC 6.15.06_Book2_Electric Rev Req Model (2009 GRC) Rebuttal REmoval of New  WH Solar AdjustMI 2" xfId="698"/>
    <cellStyle name="_Costs not in AURORA 2006GRC 6.15.06_Book2_Electric Rev Req Model (2009 GRC) Rebuttal REmoval of New  WH Solar AdjustMI 2 2" xfId="5651"/>
    <cellStyle name="_Costs not in AURORA 2006GRC 6.15.06_Book2_Electric Rev Req Model (2009 GRC) Rebuttal REmoval of New  WH Solar AdjustMI 3" xfId="5652"/>
    <cellStyle name="_Costs not in AURORA 2006GRC 6.15.06_Book2_Electric Rev Req Model (2009 GRC) Revised 01-18-2010" xfId="699"/>
    <cellStyle name="_Costs not in AURORA 2006GRC 6.15.06_Book2_Electric Rev Req Model (2009 GRC) Revised 01-18-2010 2" xfId="700"/>
    <cellStyle name="_Costs not in AURORA 2006GRC 6.15.06_Book2_Electric Rev Req Model (2009 GRC) Revised 01-18-2010 2 2" xfId="5653"/>
    <cellStyle name="_Costs not in AURORA 2006GRC 6.15.06_Book2_Electric Rev Req Model (2009 GRC) Revised 01-18-2010 3" xfId="5654"/>
    <cellStyle name="_Costs not in AURORA 2006GRC 6.15.06_Book2_Final Order Electric EXHIBIT A-1" xfId="701"/>
    <cellStyle name="_Costs not in AURORA 2006GRC 6.15.06_Book2_Final Order Electric EXHIBIT A-1 2" xfId="3755"/>
    <cellStyle name="_Costs not in AURORA 2006GRC 6.15.06_Book2_Final Order Electric EXHIBIT A-1 2 2" xfId="5655"/>
    <cellStyle name="_Costs not in AURORA 2006GRC 6.15.06_Book2_Final Order Electric EXHIBIT A-1 3" xfId="5656"/>
    <cellStyle name="_Costs not in AURORA 2006GRC 6.15.06_Book4" xfId="702"/>
    <cellStyle name="_Costs not in AURORA 2006GRC 6.15.06_Book4 2" xfId="703"/>
    <cellStyle name="_Costs not in AURORA 2006GRC 6.15.06_Book4 2 2" xfId="5657"/>
    <cellStyle name="_Costs not in AURORA 2006GRC 6.15.06_Book4 3" xfId="5658"/>
    <cellStyle name="_Costs not in AURORA 2006GRC 6.15.06_Book9" xfId="704"/>
    <cellStyle name="_Costs not in AURORA 2006GRC 6.15.06_Book9 2" xfId="705"/>
    <cellStyle name="_Costs not in AURORA 2006GRC 6.15.06_Book9 2 2" xfId="5659"/>
    <cellStyle name="_Costs not in AURORA 2006GRC 6.15.06_Book9 3" xfId="5660"/>
    <cellStyle name="_Costs not in AURORA 2006GRC 6.15.06_INPUTS" xfId="3756"/>
    <cellStyle name="_Costs not in AURORA 2006GRC 6.15.06_INPUTS 2" xfId="3757"/>
    <cellStyle name="_Costs not in AURORA 2006GRC 6.15.06_INPUTS 2 2" xfId="5661"/>
    <cellStyle name="_Costs not in AURORA 2006GRC 6.15.06_INPUTS 3" xfId="5662"/>
    <cellStyle name="_Costs not in AURORA 2006GRC 6.15.06_NIM Summary" xfId="706"/>
    <cellStyle name="_Costs not in AURORA 2006GRC 6.15.06_NIM Summary 09GRC" xfId="707"/>
    <cellStyle name="_Costs not in AURORA 2006GRC 6.15.06_NIM Summary 09GRC 2" xfId="708"/>
    <cellStyle name="_Costs not in AURORA 2006GRC 6.15.06_NIM Summary 2" xfId="709"/>
    <cellStyle name="_Costs not in AURORA 2006GRC 6.15.06_NIM Summary 3" xfId="710"/>
    <cellStyle name="_Costs not in AURORA 2006GRC 6.15.06_NIM Summary 4" xfId="3318"/>
    <cellStyle name="_Costs not in AURORA 2006GRC 6.15.06_NIM Summary 5" xfId="3319"/>
    <cellStyle name="_Costs not in AURORA 2006GRC 6.15.06_NIM Summary 6" xfId="3320"/>
    <cellStyle name="_Costs not in AURORA 2006GRC 6.15.06_NIM Summary 7" xfId="3321"/>
    <cellStyle name="_Costs not in AURORA 2006GRC 6.15.06_NIM Summary 8" xfId="3322"/>
    <cellStyle name="_Costs not in AURORA 2006GRC 6.15.06_NIM Summary 9" xfId="3323"/>
    <cellStyle name="_Costs not in AURORA 2006GRC 6.15.06_PCA 9 -  Exhibit D April 2010 (3)" xfId="711"/>
    <cellStyle name="_Costs not in AURORA 2006GRC 6.15.06_PCA 9 -  Exhibit D April 2010 (3) 2" xfId="712"/>
    <cellStyle name="_Costs not in AURORA 2006GRC 6.15.06_Power Costs - Comparison bx Rbtl-Staff-Jt-PC" xfId="713"/>
    <cellStyle name="_Costs not in AURORA 2006GRC 6.15.06_Power Costs - Comparison bx Rbtl-Staff-Jt-PC 2" xfId="714"/>
    <cellStyle name="_Costs not in AURORA 2006GRC 6.15.06_Power Costs - Comparison bx Rbtl-Staff-Jt-PC 2 2" xfId="5663"/>
    <cellStyle name="_Costs not in AURORA 2006GRC 6.15.06_Power Costs - Comparison bx Rbtl-Staff-Jt-PC 3" xfId="5664"/>
    <cellStyle name="_Costs not in AURORA 2006GRC 6.15.06_Power Costs - Comparison bx Rbtl-Staff-Jt-PC_Adj Bench DR 3 for Initial Briefs (Electric)" xfId="715"/>
    <cellStyle name="_Costs not in AURORA 2006GRC 6.15.06_Power Costs - Comparison bx Rbtl-Staff-Jt-PC_Adj Bench DR 3 for Initial Briefs (Electric) 2" xfId="716"/>
    <cellStyle name="_Costs not in AURORA 2006GRC 6.15.06_Power Costs - Comparison bx Rbtl-Staff-Jt-PC_Adj Bench DR 3 for Initial Briefs (Electric) 2 2" xfId="5665"/>
    <cellStyle name="_Costs not in AURORA 2006GRC 6.15.06_Power Costs - Comparison bx Rbtl-Staff-Jt-PC_Adj Bench DR 3 for Initial Briefs (Electric) 3" xfId="5666"/>
    <cellStyle name="_Costs not in AURORA 2006GRC 6.15.06_Power Costs - Comparison bx Rbtl-Staff-Jt-PC_Electric Rev Req Model (2009 GRC) Rebuttal" xfId="717"/>
    <cellStyle name="_Costs not in AURORA 2006GRC 6.15.06_Power Costs - Comparison bx Rbtl-Staff-Jt-PC_Electric Rev Req Model (2009 GRC) Rebuttal 2" xfId="3758"/>
    <cellStyle name="_Costs not in AURORA 2006GRC 6.15.06_Power Costs - Comparison bx Rbtl-Staff-Jt-PC_Electric Rev Req Model (2009 GRC) Rebuttal 2 2" xfId="5667"/>
    <cellStyle name="_Costs not in AURORA 2006GRC 6.15.06_Power Costs - Comparison bx Rbtl-Staff-Jt-PC_Electric Rev Req Model (2009 GRC) Rebuttal 3" xfId="5668"/>
    <cellStyle name="_Costs not in AURORA 2006GRC 6.15.06_Power Costs - Comparison bx Rbtl-Staff-Jt-PC_Electric Rev Req Model (2009 GRC) Rebuttal REmoval of New  WH Solar AdjustMI" xfId="718"/>
    <cellStyle name="_Costs not in AURORA 2006GRC 6.15.06_Power Costs - Comparison bx Rbtl-Staff-Jt-PC_Electric Rev Req Model (2009 GRC) Rebuttal REmoval of New  WH Solar AdjustMI 2" xfId="719"/>
    <cellStyle name="_Costs not in AURORA 2006GRC 6.15.06_Power Costs - Comparison bx Rbtl-Staff-Jt-PC_Electric Rev Req Model (2009 GRC) Rebuttal REmoval of New  WH Solar AdjustMI 2 2" xfId="5669"/>
    <cellStyle name="_Costs not in AURORA 2006GRC 6.15.06_Power Costs - Comparison bx Rbtl-Staff-Jt-PC_Electric Rev Req Model (2009 GRC) Rebuttal REmoval of New  WH Solar AdjustMI 3" xfId="5670"/>
    <cellStyle name="_Costs not in AURORA 2006GRC 6.15.06_Power Costs - Comparison bx Rbtl-Staff-Jt-PC_Electric Rev Req Model (2009 GRC) Revised 01-18-2010" xfId="720"/>
    <cellStyle name="_Costs not in AURORA 2006GRC 6.15.06_Power Costs - Comparison bx Rbtl-Staff-Jt-PC_Electric Rev Req Model (2009 GRC) Revised 01-18-2010 2" xfId="721"/>
    <cellStyle name="_Costs not in AURORA 2006GRC 6.15.06_Power Costs - Comparison bx Rbtl-Staff-Jt-PC_Electric Rev Req Model (2009 GRC) Revised 01-18-2010 2 2" xfId="5671"/>
    <cellStyle name="_Costs not in AURORA 2006GRC 6.15.06_Power Costs - Comparison bx Rbtl-Staff-Jt-PC_Electric Rev Req Model (2009 GRC) Revised 01-18-2010 3" xfId="5672"/>
    <cellStyle name="_Costs not in AURORA 2006GRC 6.15.06_Power Costs - Comparison bx Rbtl-Staff-Jt-PC_Final Order Electric EXHIBIT A-1" xfId="722"/>
    <cellStyle name="_Costs not in AURORA 2006GRC 6.15.06_Power Costs - Comparison bx Rbtl-Staff-Jt-PC_Final Order Electric EXHIBIT A-1 2" xfId="3759"/>
    <cellStyle name="_Costs not in AURORA 2006GRC 6.15.06_Power Costs - Comparison bx Rbtl-Staff-Jt-PC_Final Order Electric EXHIBIT A-1 2 2" xfId="5673"/>
    <cellStyle name="_Costs not in AURORA 2006GRC 6.15.06_Power Costs - Comparison bx Rbtl-Staff-Jt-PC_Final Order Electric EXHIBIT A-1 3" xfId="5674"/>
    <cellStyle name="_Costs not in AURORA 2006GRC 6.15.06_Production Adj 4.37" xfId="3760"/>
    <cellStyle name="_Costs not in AURORA 2006GRC 6.15.06_Production Adj 4.37 2" xfId="3761"/>
    <cellStyle name="_Costs not in AURORA 2006GRC 6.15.06_Production Adj 4.37 2 2" xfId="5675"/>
    <cellStyle name="_Costs not in AURORA 2006GRC 6.15.06_Production Adj 4.37 3" xfId="5676"/>
    <cellStyle name="_Costs not in AURORA 2006GRC 6.15.06_Purchased Power Adj 4.03" xfId="3762"/>
    <cellStyle name="_Costs not in AURORA 2006GRC 6.15.06_Purchased Power Adj 4.03 2" xfId="3763"/>
    <cellStyle name="_Costs not in AURORA 2006GRC 6.15.06_Purchased Power Adj 4.03 2 2" xfId="5677"/>
    <cellStyle name="_Costs not in AURORA 2006GRC 6.15.06_Purchased Power Adj 4.03 3" xfId="5678"/>
    <cellStyle name="_Costs not in AURORA 2006GRC 6.15.06_Rebuttal Power Costs" xfId="723"/>
    <cellStyle name="_Costs not in AURORA 2006GRC 6.15.06_Rebuttal Power Costs 2" xfId="724"/>
    <cellStyle name="_Costs not in AURORA 2006GRC 6.15.06_Rebuttal Power Costs 2 2" xfId="5679"/>
    <cellStyle name="_Costs not in AURORA 2006GRC 6.15.06_Rebuttal Power Costs 3" xfId="5680"/>
    <cellStyle name="_Costs not in AURORA 2006GRC 6.15.06_Rebuttal Power Costs_Adj Bench DR 3 for Initial Briefs (Electric)" xfId="725"/>
    <cellStyle name="_Costs not in AURORA 2006GRC 6.15.06_Rebuttal Power Costs_Adj Bench DR 3 for Initial Briefs (Electric) 2" xfId="726"/>
    <cellStyle name="_Costs not in AURORA 2006GRC 6.15.06_Rebuttal Power Costs_Adj Bench DR 3 for Initial Briefs (Electric) 2 2" xfId="5681"/>
    <cellStyle name="_Costs not in AURORA 2006GRC 6.15.06_Rebuttal Power Costs_Adj Bench DR 3 for Initial Briefs (Electric) 3" xfId="5682"/>
    <cellStyle name="_Costs not in AURORA 2006GRC 6.15.06_Rebuttal Power Costs_Electric Rev Req Model (2009 GRC) Rebuttal" xfId="727"/>
    <cellStyle name="_Costs not in AURORA 2006GRC 6.15.06_Rebuttal Power Costs_Electric Rev Req Model (2009 GRC) Rebuttal 2" xfId="3764"/>
    <cellStyle name="_Costs not in AURORA 2006GRC 6.15.06_Rebuttal Power Costs_Electric Rev Req Model (2009 GRC) Rebuttal 2 2" xfId="5683"/>
    <cellStyle name="_Costs not in AURORA 2006GRC 6.15.06_Rebuttal Power Costs_Electric Rev Req Model (2009 GRC) Rebuttal 3" xfId="5684"/>
    <cellStyle name="_Costs not in AURORA 2006GRC 6.15.06_Rebuttal Power Costs_Electric Rev Req Model (2009 GRC) Rebuttal REmoval of New  WH Solar AdjustMI" xfId="728"/>
    <cellStyle name="_Costs not in AURORA 2006GRC 6.15.06_Rebuttal Power Costs_Electric Rev Req Model (2009 GRC) Rebuttal REmoval of New  WH Solar AdjustMI 2" xfId="729"/>
    <cellStyle name="_Costs not in AURORA 2006GRC 6.15.06_Rebuttal Power Costs_Electric Rev Req Model (2009 GRC) Rebuttal REmoval of New  WH Solar AdjustMI 2 2" xfId="5685"/>
    <cellStyle name="_Costs not in AURORA 2006GRC 6.15.06_Rebuttal Power Costs_Electric Rev Req Model (2009 GRC) Rebuttal REmoval of New  WH Solar AdjustMI 3" xfId="5686"/>
    <cellStyle name="_Costs not in AURORA 2006GRC 6.15.06_Rebuttal Power Costs_Electric Rev Req Model (2009 GRC) Revised 01-18-2010" xfId="730"/>
    <cellStyle name="_Costs not in AURORA 2006GRC 6.15.06_Rebuttal Power Costs_Electric Rev Req Model (2009 GRC) Revised 01-18-2010 2" xfId="731"/>
    <cellStyle name="_Costs not in AURORA 2006GRC 6.15.06_Rebuttal Power Costs_Electric Rev Req Model (2009 GRC) Revised 01-18-2010 2 2" xfId="5687"/>
    <cellStyle name="_Costs not in AURORA 2006GRC 6.15.06_Rebuttal Power Costs_Electric Rev Req Model (2009 GRC) Revised 01-18-2010 3" xfId="5688"/>
    <cellStyle name="_Costs not in AURORA 2006GRC 6.15.06_Rebuttal Power Costs_Final Order Electric EXHIBIT A-1" xfId="732"/>
    <cellStyle name="_Costs not in AURORA 2006GRC 6.15.06_Rebuttal Power Costs_Final Order Electric EXHIBIT A-1 2" xfId="3765"/>
    <cellStyle name="_Costs not in AURORA 2006GRC 6.15.06_Rebuttal Power Costs_Final Order Electric EXHIBIT A-1 2 2" xfId="5689"/>
    <cellStyle name="_Costs not in AURORA 2006GRC 6.15.06_Rebuttal Power Costs_Final Order Electric EXHIBIT A-1 3" xfId="5690"/>
    <cellStyle name="_Costs not in AURORA 2006GRC 6.15.06_ROR &amp; CONV FACTOR" xfId="3766"/>
    <cellStyle name="_Costs not in AURORA 2006GRC 6.15.06_ROR &amp; CONV FACTOR 2" xfId="3767"/>
    <cellStyle name="_Costs not in AURORA 2006GRC 6.15.06_ROR &amp; CONV FACTOR 2 2" xfId="5691"/>
    <cellStyle name="_Costs not in AURORA 2006GRC 6.15.06_ROR &amp; CONV FACTOR 3" xfId="5692"/>
    <cellStyle name="_Costs not in AURORA 2006GRC 6.15.06_ROR 5.02" xfId="3768"/>
    <cellStyle name="_Costs not in AURORA 2006GRC 6.15.06_ROR 5.02 2" xfId="3769"/>
    <cellStyle name="_Costs not in AURORA 2006GRC 6.15.06_ROR 5.02 2 2" xfId="5693"/>
    <cellStyle name="_Costs not in AURORA 2006GRC 6.15.06_ROR 5.02 3" xfId="5694"/>
    <cellStyle name="_Costs not in AURORA 2006GRC 6.15.06_Wind Integration 10GRC" xfId="733"/>
    <cellStyle name="_Costs not in AURORA 2006GRC 6.15.06_Wind Integration 10GRC 2" xfId="734"/>
    <cellStyle name="_Costs not in AURORA 2006GRC w gas price updated" xfId="735"/>
    <cellStyle name="_Costs not in AURORA 2006GRC w gas price updated 2" xfId="736"/>
    <cellStyle name="_Costs not in AURORA 2006GRC w gas price updated 2 2" xfId="5695"/>
    <cellStyle name="_Costs not in AURORA 2006GRC w gas price updated 3" xfId="5696"/>
    <cellStyle name="_Costs not in AURORA 2006GRC w gas price updated_Adj Bench DR 3 for Initial Briefs (Electric)" xfId="737"/>
    <cellStyle name="_Costs not in AURORA 2006GRC w gas price updated_Adj Bench DR 3 for Initial Briefs (Electric) 2" xfId="738"/>
    <cellStyle name="_Costs not in AURORA 2006GRC w gas price updated_Adj Bench DR 3 for Initial Briefs (Electric) 2 2" xfId="5697"/>
    <cellStyle name="_Costs not in AURORA 2006GRC w gas price updated_Adj Bench DR 3 for Initial Briefs (Electric) 3" xfId="5698"/>
    <cellStyle name="_Costs not in AURORA 2006GRC w gas price updated_Book2" xfId="739"/>
    <cellStyle name="_Costs not in AURORA 2006GRC w gas price updated_Book2 2" xfId="740"/>
    <cellStyle name="_Costs not in AURORA 2006GRC w gas price updated_Book2 2 2" xfId="5699"/>
    <cellStyle name="_Costs not in AURORA 2006GRC w gas price updated_Book2 3" xfId="5700"/>
    <cellStyle name="_Costs not in AURORA 2006GRC w gas price updated_Book2_Adj Bench DR 3 for Initial Briefs (Electric)" xfId="741"/>
    <cellStyle name="_Costs not in AURORA 2006GRC w gas price updated_Book2_Adj Bench DR 3 for Initial Briefs (Electric) 2" xfId="742"/>
    <cellStyle name="_Costs not in AURORA 2006GRC w gas price updated_Book2_Adj Bench DR 3 for Initial Briefs (Electric) 2 2" xfId="5701"/>
    <cellStyle name="_Costs not in AURORA 2006GRC w gas price updated_Book2_Adj Bench DR 3 for Initial Briefs (Electric) 3" xfId="5702"/>
    <cellStyle name="_Costs not in AURORA 2006GRC w gas price updated_Book2_Electric Rev Req Model (2009 GRC) Rebuttal" xfId="743"/>
    <cellStyle name="_Costs not in AURORA 2006GRC w gas price updated_Book2_Electric Rev Req Model (2009 GRC) Rebuttal 2" xfId="3770"/>
    <cellStyle name="_Costs not in AURORA 2006GRC w gas price updated_Book2_Electric Rev Req Model (2009 GRC) Rebuttal 2 2" xfId="5703"/>
    <cellStyle name="_Costs not in AURORA 2006GRC w gas price updated_Book2_Electric Rev Req Model (2009 GRC) Rebuttal 3" xfId="5704"/>
    <cellStyle name="_Costs not in AURORA 2006GRC w gas price updated_Book2_Electric Rev Req Model (2009 GRC) Rebuttal REmoval of New  WH Solar AdjustMI" xfId="744"/>
    <cellStyle name="_Costs not in AURORA 2006GRC w gas price updated_Book2_Electric Rev Req Model (2009 GRC) Rebuttal REmoval of New  WH Solar AdjustMI 2" xfId="745"/>
    <cellStyle name="_Costs not in AURORA 2006GRC w gas price updated_Book2_Electric Rev Req Model (2009 GRC) Rebuttal REmoval of New  WH Solar AdjustMI 2 2" xfId="5705"/>
    <cellStyle name="_Costs not in AURORA 2006GRC w gas price updated_Book2_Electric Rev Req Model (2009 GRC) Rebuttal REmoval of New  WH Solar AdjustMI 3" xfId="5706"/>
    <cellStyle name="_Costs not in AURORA 2006GRC w gas price updated_Book2_Electric Rev Req Model (2009 GRC) Revised 01-18-2010" xfId="746"/>
    <cellStyle name="_Costs not in AURORA 2006GRC w gas price updated_Book2_Electric Rev Req Model (2009 GRC) Revised 01-18-2010 2" xfId="747"/>
    <cellStyle name="_Costs not in AURORA 2006GRC w gas price updated_Book2_Electric Rev Req Model (2009 GRC) Revised 01-18-2010 2 2" xfId="5707"/>
    <cellStyle name="_Costs not in AURORA 2006GRC w gas price updated_Book2_Electric Rev Req Model (2009 GRC) Revised 01-18-2010 3" xfId="5708"/>
    <cellStyle name="_Costs not in AURORA 2006GRC w gas price updated_Book2_Final Order Electric EXHIBIT A-1" xfId="748"/>
    <cellStyle name="_Costs not in AURORA 2006GRC w gas price updated_Book2_Final Order Electric EXHIBIT A-1 2" xfId="3771"/>
    <cellStyle name="_Costs not in AURORA 2006GRC w gas price updated_Book2_Final Order Electric EXHIBIT A-1 2 2" xfId="5709"/>
    <cellStyle name="_Costs not in AURORA 2006GRC w gas price updated_Book2_Final Order Electric EXHIBIT A-1 3" xfId="5710"/>
    <cellStyle name="_Costs not in AURORA 2006GRC w gas price updated_Electric Rev Req Model (2009 GRC) " xfId="749"/>
    <cellStyle name="_Costs not in AURORA 2006GRC w gas price updated_Electric Rev Req Model (2009 GRC)  2" xfId="750"/>
    <cellStyle name="_Costs not in AURORA 2006GRC w gas price updated_Electric Rev Req Model (2009 GRC)  2 2" xfId="5711"/>
    <cellStyle name="_Costs not in AURORA 2006GRC w gas price updated_Electric Rev Req Model (2009 GRC)  3" xfId="5712"/>
    <cellStyle name="_Costs not in AURORA 2006GRC w gas price updated_Electric Rev Req Model (2009 GRC) Rebuttal" xfId="751"/>
    <cellStyle name="_Costs not in AURORA 2006GRC w gas price updated_Electric Rev Req Model (2009 GRC) Rebuttal 2" xfId="3772"/>
    <cellStyle name="_Costs not in AURORA 2006GRC w gas price updated_Electric Rev Req Model (2009 GRC) Rebuttal 2 2" xfId="5713"/>
    <cellStyle name="_Costs not in AURORA 2006GRC w gas price updated_Electric Rev Req Model (2009 GRC) Rebuttal 3" xfId="5714"/>
    <cellStyle name="_Costs not in AURORA 2006GRC w gas price updated_Electric Rev Req Model (2009 GRC) Rebuttal REmoval of New  WH Solar AdjustMI" xfId="752"/>
    <cellStyle name="_Costs not in AURORA 2006GRC w gas price updated_Electric Rev Req Model (2009 GRC) Rebuttal REmoval of New  WH Solar AdjustMI 2" xfId="753"/>
    <cellStyle name="_Costs not in AURORA 2006GRC w gas price updated_Electric Rev Req Model (2009 GRC) Rebuttal REmoval of New  WH Solar AdjustMI 2 2" xfId="5715"/>
    <cellStyle name="_Costs not in AURORA 2006GRC w gas price updated_Electric Rev Req Model (2009 GRC) Rebuttal REmoval of New  WH Solar AdjustMI 3" xfId="5716"/>
    <cellStyle name="_Costs not in AURORA 2006GRC w gas price updated_Electric Rev Req Model (2009 GRC) Revised 01-18-2010" xfId="754"/>
    <cellStyle name="_Costs not in AURORA 2006GRC w gas price updated_Electric Rev Req Model (2009 GRC) Revised 01-18-2010 2" xfId="755"/>
    <cellStyle name="_Costs not in AURORA 2006GRC w gas price updated_Electric Rev Req Model (2009 GRC) Revised 01-18-2010 2 2" xfId="5717"/>
    <cellStyle name="_Costs not in AURORA 2006GRC w gas price updated_Electric Rev Req Model (2009 GRC) Revised 01-18-2010 3" xfId="5718"/>
    <cellStyle name="_Costs not in AURORA 2006GRC w gas price updated_Final Order Electric EXHIBIT A-1" xfId="756"/>
    <cellStyle name="_Costs not in AURORA 2006GRC w gas price updated_Final Order Electric EXHIBIT A-1 2" xfId="3773"/>
    <cellStyle name="_Costs not in AURORA 2006GRC w gas price updated_Final Order Electric EXHIBIT A-1 2 2" xfId="5719"/>
    <cellStyle name="_Costs not in AURORA 2006GRC w gas price updated_Final Order Electric EXHIBIT A-1 3" xfId="5720"/>
    <cellStyle name="_Costs not in AURORA 2006GRC w gas price updated_NIM Summary" xfId="757"/>
    <cellStyle name="_Costs not in AURORA 2006GRC w gas price updated_NIM Summary 2" xfId="758"/>
    <cellStyle name="_Costs not in AURORA 2006GRC w gas price updated_Rebuttal Power Costs" xfId="759"/>
    <cellStyle name="_Costs not in AURORA 2006GRC w gas price updated_Rebuttal Power Costs 2" xfId="760"/>
    <cellStyle name="_Costs not in AURORA 2006GRC w gas price updated_Rebuttal Power Costs 2 2" xfId="5721"/>
    <cellStyle name="_Costs not in AURORA 2006GRC w gas price updated_Rebuttal Power Costs 3" xfId="5722"/>
    <cellStyle name="_Costs not in AURORA 2006GRC w gas price updated_Rebuttal Power Costs_Adj Bench DR 3 for Initial Briefs (Electric)" xfId="761"/>
    <cellStyle name="_Costs not in AURORA 2006GRC w gas price updated_Rebuttal Power Costs_Adj Bench DR 3 for Initial Briefs (Electric) 2" xfId="762"/>
    <cellStyle name="_Costs not in AURORA 2006GRC w gas price updated_Rebuttal Power Costs_Adj Bench DR 3 for Initial Briefs (Electric) 2 2" xfId="5723"/>
    <cellStyle name="_Costs not in AURORA 2006GRC w gas price updated_Rebuttal Power Costs_Adj Bench DR 3 for Initial Briefs (Electric) 3" xfId="5724"/>
    <cellStyle name="_Costs not in AURORA 2006GRC w gas price updated_Rebuttal Power Costs_Electric Rev Req Model (2009 GRC) Rebuttal" xfId="763"/>
    <cellStyle name="_Costs not in AURORA 2006GRC w gas price updated_Rebuttal Power Costs_Electric Rev Req Model (2009 GRC) Rebuttal 2" xfId="3774"/>
    <cellStyle name="_Costs not in AURORA 2006GRC w gas price updated_Rebuttal Power Costs_Electric Rev Req Model (2009 GRC) Rebuttal 2 2" xfId="5725"/>
    <cellStyle name="_Costs not in AURORA 2006GRC w gas price updated_Rebuttal Power Costs_Electric Rev Req Model (2009 GRC) Rebuttal 3" xfId="5726"/>
    <cellStyle name="_Costs not in AURORA 2006GRC w gas price updated_Rebuttal Power Costs_Electric Rev Req Model (2009 GRC) Rebuttal REmoval of New  WH Solar AdjustMI" xfId="764"/>
    <cellStyle name="_Costs not in AURORA 2006GRC w gas price updated_Rebuttal Power Costs_Electric Rev Req Model (2009 GRC) Rebuttal REmoval of New  WH Solar AdjustMI 2" xfId="765"/>
    <cellStyle name="_Costs not in AURORA 2006GRC w gas price updated_Rebuttal Power Costs_Electric Rev Req Model (2009 GRC) Rebuttal REmoval of New  WH Solar AdjustMI 2 2" xfId="5727"/>
    <cellStyle name="_Costs not in AURORA 2006GRC w gas price updated_Rebuttal Power Costs_Electric Rev Req Model (2009 GRC) Rebuttal REmoval of New  WH Solar AdjustMI 3" xfId="5728"/>
    <cellStyle name="_Costs not in AURORA 2006GRC w gas price updated_Rebuttal Power Costs_Electric Rev Req Model (2009 GRC) Revised 01-18-2010" xfId="766"/>
    <cellStyle name="_Costs not in AURORA 2006GRC w gas price updated_Rebuttal Power Costs_Electric Rev Req Model (2009 GRC) Revised 01-18-2010 2" xfId="767"/>
    <cellStyle name="_Costs not in AURORA 2006GRC w gas price updated_Rebuttal Power Costs_Electric Rev Req Model (2009 GRC) Revised 01-18-2010 2 2" xfId="5729"/>
    <cellStyle name="_Costs not in AURORA 2006GRC w gas price updated_Rebuttal Power Costs_Electric Rev Req Model (2009 GRC) Revised 01-18-2010 3" xfId="5730"/>
    <cellStyle name="_Costs not in AURORA 2006GRC w gas price updated_Rebuttal Power Costs_Final Order Electric EXHIBIT A-1" xfId="768"/>
    <cellStyle name="_Costs not in AURORA 2006GRC w gas price updated_Rebuttal Power Costs_Final Order Electric EXHIBIT A-1 2" xfId="3775"/>
    <cellStyle name="_Costs not in AURORA 2006GRC w gas price updated_Rebuttal Power Costs_Final Order Electric EXHIBIT A-1 2 2" xfId="5731"/>
    <cellStyle name="_Costs not in AURORA 2006GRC w gas price updated_Rebuttal Power Costs_Final Order Electric EXHIBIT A-1 3" xfId="5732"/>
    <cellStyle name="_Costs not in AURORA 2006GRC w gas price updated_TENASKA REGULATORY ASSET" xfId="769"/>
    <cellStyle name="_Costs not in AURORA 2006GRC w gas price updated_TENASKA REGULATORY ASSET 2" xfId="3776"/>
    <cellStyle name="_Costs not in AURORA 2006GRC w gas price updated_TENASKA REGULATORY ASSET 2 2" xfId="5733"/>
    <cellStyle name="_Costs not in AURORA 2006GRC w gas price updated_TENASKA REGULATORY ASSET 3" xfId="5734"/>
    <cellStyle name="_Costs not in AURORA 2007 Rate Case" xfId="770"/>
    <cellStyle name="_Costs not in AURORA 2007 Rate Case 2" xfId="771"/>
    <cellStyle name="_Costs not in AURORA 2007 Rate Case 2 2" xfId="772"/>
    <cellStyle name="_Costs not in AURORA 2007 Rate Case 2 2 2" xfId="5735"/>
    <cellStyle name="_Costs not in AURORA 2007 Rate Case 2 3" xfId="5736"/>
    <cellStyle name="_Costs not in AURORA 2007 Rate Case 3" xfId="773"/>
    <cellStyle name="_Costs not in AURORA 2007 Rate Case 3 2" xfId="5737"/>
    <cellStyle name="_Costs not in AURORA 2007 Rate Case 4" xfId="774"/>
    <cellStyle name="_Costs not in AURORA 2007 Rate Case 4 2" xfId="3324"/>
    <cellStyle name="_Costs not in AURORA 2007 Rate Case_(C) WHE Proforma with ITC cash grant 10 Yr Amort_for deferral_102809" xfId="775"/>
    <cellStyle name="_Costs not in AURORA 2007 Rate Case_(C) WHE Proforma with ITC cash grant 10 Yr Amort_for deferral_102809 2" xfId="776"/>
    <cellStyle name="_Costs not in AURORA 2007 Rate Case_(C) WHE Proforma with ITC cash grant 10 Yr Amort_for deferral_102809 2 2" xfId="5738"/>
    <cellStyle name="_Costs not in AURORA 2007 Rate Case_(C) WHE Proforma with ITC cash grant 10 Yr Amort_for deferral_102809 3" xfId="5739"/>
    <cellStyle name="_Costs not in AURORA 2007 Rate Case_(C) WHE Proforma with ITC cash grant 10 Yr Amort_for deferral_102809_16.07E Wild Horse Wind Expansionwrkingfile" xfId="777"/>
    <cellStyle name="_Costs not in AURORA 2007 Rate Case_(C) WHE Proforma with ITC cash grant 10 Yr Amort_for deferral_102809_16.07E Wild Horse Wind Expansionwrkingfile 2" xfId="778"/>
    <cellStyle name="_Costs not in AURORA 2007 Rate Case_(C) WHE Proforma with ITC cash grant 10 Yr Amort_for deferral_102809_16.07E Wild Horse Wind Expansionwrkingfile 2 2" xfId="5740"/>
    <cellStyle name="_Costs not in AURORA 2007 Rate Case_(C) WHE Proforma with ITC cash grant 10 Yr Amort_for deferral_102809_16.07E Wild Horse Wind Expansionwrkingfile 3" xfId="5741"/>
    <cellStyle name="_Costs not in AURORA 2007 Rate Case_(C) WHE Proforma with ITC cash grant 10 Yr Amort_for deferral_102809_16.07E Wild Horse Wind Expansionwrkingfile SF" xfId="779"/>
    <cellStyle name="_Costs not in AURORA 2007 Rate Case_(C) WHE Proforma with ITC cash grant 10 Yr Amort_for deferral_102809_16.07E Wild Horse Wind Expansionwrkingfile SF 2" xfId="780"/>
    <cellStyle name="_Costs not in AURORA 2007 Rate Case_(C) WHE Proforma with ITC cash grant 10 Yr Amort_for deferral_102809_16.07E Wild Horse Wind Expansionwrkingfile SF 2 2" xfId="5742"/>
    <cellStyle name="_Costs not in AURORA 2007 Rate Case_(C) WHE Proforma with ITC cash grant 10 Yr Amort_for deferral_102809_16.07E Wild Horse Wind Expansionwrkingfile SF 3" xfId="5743"/>
    <cellStyle name="_Costs not in AURORA 2007 Rate Case_(C) WHE Proforma with ITC cash grant 10 Yr Amort_for deferral_102809_16.37E Wild Horse Expansion DeferralRevwrkingfile SF" xfId="781"/>
    <cellStyle name="_Costs not in AURORA 2007 Rate Case_(C) WHE Proforma with ITC cash grant 10 Yr Amort_for deferral_102809_16.37E Wild Horse Expansion DeferralRevwrkingfile SF 2" xfId="782"/>
    <cellStyle name="_Costs not in AURORA 2007 Rate Case_(C) WHE Proforma with ITC cash grant 10 Yr Amort_for deferral_102809_16.37E Wild Horse Expansion DeferralRevwrkingfile SF 2 2" xfId="5744"/>
    <cellStyle name="_Costs not in AURORA 2007 Rate Case_(C) WHE Proforma with ITC cash grant 10 Yr Amort_for deferral_102809_16.37E Wild Horse Expansion DeferralRevwrkingfile SF 3" xfId="5745"/>
    <cellStyle name="_Costs not in AURORA 2007 Rate Case_(C) WHE Proforma with ITC cash grant 10 Yr Amort_for rebuttal_120709" xfId="783"/>
    <cellStyle name="_Costs not in AURORA 2007 Rate Case_(C) WHE Proforma with ITC cash grant 10 Yr Amort_for rebuttal_120709 2" xfId="784"/>
    <cellStyle name="_Costs not in AURORA 2007 Rate Case_(C) WHE Proforma with ITC cash grant 10 Yr Amort_for rebuttal_120709 2 2" xfId="5746"/>
    <cellStyle name="_Costs not in AURORA 2007 Rate Case_(C) WHE Proforma with ITC cash grant 10 Yr Amort_for rebuttal_120709 3" xfId="5747"/>
    <cellStyle name="_Costs not in AURORA 2007 Rate Case_04.07E Wild Horse Wind Expansion" xfId="785"/>
    <cellStyle name="_Costs not in AURORA 2007 Rate Case_04.07E Wild Horse Wind Expansion 2" xfId="786"/>
    <cellStyle name="_Costs not in AURORA 2007 Rate Case_04.07E Wild Horse Wind Expansion 2 2" xfId="5748"/>
    <cellStyle name="_Costs not in AURORA 2007 Rate Case_04.07E Wild Horse Wind Expansion 3" xfId="5749"/>
    <cellStyle name="_Costs not in AURORA 2007 Rate Case_04.07E Wild Horse Wind Expansion_16.07E Wild Horse Wind Expansionwrkingfile" xfId="787"/>
    <cellStyle name="_Costs not in AURORA 2007 Rate Case_04.07E Wild Horse Wind Expansion_16.07E Wild Horse Wind Expansionwrkingfile 2" xfId="788"/>
    <cellStyle name="_Costs not in AURORA 2007 Rate Case_04.07E Wild Horse Wind Expansion_16.07E Wild Horse Wind Expansionwrkingfile 2 2" xfId="5750"/>
    <cellStyle name="_Costs not in AURORA 2007 Rate Case_04.07E Wild Horse Wind Expansion_16.07E Wild Horse Wind Expansionwrkingfile 3" xfId="5751"/>
    <cellStyle name="_Costs not in AURORA 2007 Rate Case_04.07E Wild Horse Wind Expansion_16.07E Wild Horse Wind Expansionwrkingfile SF" xfId="789"/>
    <cellStyle name="_Costs not in AURORA 2007 Rate Case_04.07E Wild Horse Wind Expansion_16.07E Wild Horse Wind Expansionwrkingfile SF 2" xfId="790"/>
    <cellStyle name="_Costs not in AURORA 2007 Rate Case_04.07E Wild Horse Wind Expansion_16.07E Wild Horse Wind Expansionwrkingfile SF 2 2" xfId="5752"/>
    <cellStyle name="_Costs not in AURORA 2007 Rate Case_04.07E Wild Horse Wind Expansion_16.07E Wild Horse Wind Expansionwrkingfile SF 3" xfId="5753"/>
    <cellStyle name="_Costs not in AURORA 2007 Rate Case_04.07E Wild Horse Wind Expansion_16.37E Wild Horse Expansion DeferralRevwrkingfile SF" xfId="791"/>
    <cellStyle name="_Costs not in AURORA 2007 Rate Case_04.07E Wild Horse Wind Expansion_16.37E Wild Horse Expansion DeferralRevwrkingfile SF 2" xfId="792"/>
    <cellStyle name="_Costs not in AURORA 2007 Rate Case_04.07E Wild Horse Wind Expansion_16.37E Wild Horse Expansion DeferralRevwrkingfile SF 2 2" xfId="5754"/>
    <cellStyle name="_Costs not in AURORA 2007 Rate Case_04.07E Wild Horse Wind Expansion_16.37E Wild Horse Expansion DeferralRevwrkingfile SF 3" xfId="5755"/>
    <cellStyle name="_Costs not in AURORA 2007 Rate Case_16.07E Wild Horse Wind Expansionwrkingfile" xfId="793"/>
    <cellStyle name="_Costs not in AURORA 2007 Rate Case_16.07E Wild Horse Wind Expansionwrkingfile 2" xfId="794"/>
    <cellStyle name="_Costs not in AURORA 2007 Rate Case_16.07E Wild Horse Wind Expansionwrkingfile 2 2" xfId="5756"/>
    <cellStyle name="_Costs not in AURORA 2007 Rate Case_16.07E Wild Horse Wind Expansionwrkingfile 3" xfId="5757"/>
    <cellStyle name="_Costs not in AURORA 2007 Rate Case_16.07E Wild Horse Wind Expansionwrkingfile SF" xfId="795"/>
    <cellStyle name="_Costs not in AURORA 2007 Rate Case_16.07E Wild Horse Wind Expansionwrkingfile SF 2" xfId="796"/>
    <cellStyle name="_Costs not in AURORA 2007 Rate Case_16.07E Wild Horse Wind Expansionwrkingfile SF 2 2" xfId="5758"/>
    <cellStyle name="_Costs not in AURORA 2007 Rate Case_16.07E Wild Horse Wind Expansionwrkingfile SF 3" xfId="5759"/>
    <cellStyle name="_Costs not in AURORA 2007 Rate Case_16.37E Wild Horse Expansion DeferralRevwrkingfile SF" xfId="797"/>
    <cellStyle name="_Costs not in AURORA 2007 Rate Case_16.37E Wild Horse Expansion DeferralRevwrkingfile SF 2" xfId="798"/>
    <cellStyle name="_Costs not in AURORA 2007 Rate Case_16.37E Wild Horse Expansion DeferralRevwrkingfile SF 2 2" xfId="5760"/>
    <cellStyle name="_Costs not in AURORA 2007 Rate Case_16.37E Wild Horse Expansion DeferralRevwrkingfile SF 3" xfId="5761"/>
    <cellStyle name="_Costs not in AURORA 2007 Rate Case_2009 GRC Compl Filing - Exhibit D" xfId="799"/>
    <cellStyle name="_Costs not in AURORA 2007 Rate Case_2009 GRC Compl Filing - Exhibit D 2" xfId="800"/>
    <cellStyle name="_Costs not in AURORA 2007 Rate Case_4 31 Regulatory Assets and Liabilities  7 06- Exhibit D" xfId="801"/>
    <cellStyle name="_Costs not in AURORA 2007 Rate Case_4 31 Regulatory Assets and Liabilities  7 06- Exhibit D 2" xfId="802"/>
    <cellStyle name="_Costs not in AURORA 2007 Rate Case_4 31 Regulatory Assets and Liabilities  7 06- Exhibit D 2 2" xfId="5762"/>
    <cellStyle name="_Costs not in AURORA 2007 Rate Case_4 31 Regulatory Assets and Liabilities  7 06- Exhibit D 3" xfId="5763"/>
    <cellStyle name="_Costs not in AURORA 2007 Rate Case_4 31 Regulatory Assets and Liabilities  7 06- Exhibit D_NIM Summary" xfId="803"/>
    <cellStyle name="_Costs not in AURORA 2007 Rate Case_4 31 Regulatory Assets and Liabilities  7 06- Exhibit D_NIM Summary 2" xfId="804"/>
    <cellStyle name="_Costs not in AURORA 2007 Rate Case_4 32 Regulatory Assets and Liabilities  7 06- Exhibit D" xfId="805"/>
    <cellStyle name="_Costs not in AURORA 2007 Rate Case_4 32 Regulatory Assets and Liabilities  7 06- Exhibit D 2" xfId="806"/>
    <cellStyle name="_Costs not in AURORA 2007 Rate Case_4 32 Regulatory Assets and Liabilities  7 06- Exhibit D 2 2" xfId="5764"/>
    <cellStyle name="_Costs not in AURORA 2007 Rate Case_4 32 Regulatory Assets and Liabilities  7 06- Exhibit D 3" xfId="5765"/>
    <cellStyle name="_Costs not in AURORA 2007 Rate Case_4 32 Regulatory Assets and Liabilities  7 06- Exhibit D_NIM Summary" xfId="807"/>
    <cellStyle name="_Costs not in AURORA 2007 Rate Case_4 32 Regulatory Assets and Liabilities  7 06- Exhibit D_NIM Summary 2" xfId="808"/>
    <cellStyle name="_Costs not in AURORA 2007 Rate Case_AURORA Total New" xfId="809"/>
    <cellStyle name="_Costs not in AURORA 2007 Rate Case_AURORA Total New 2" xfId="810"/>
    <cellStyle name="_Costs not in AURORA 2007 Rate Case_Book2" xfId="811"/>
    <cellStyle name="_Costs not in AURORA 2007 Rate Case_Book2 2" xfId="812"/>
    <cellStyle name="_Costs not in AURORA 2007 Rate Case_Book2 2 2" xfId="5766"/>
    <cellStyle name="_Costs not in AURORA 2007 Rate Case_Book2 3" xfId="5767"/>
    <cellStyle name="_Costs not in AURORA 2007 Rate Case_Book2_Adj Bench DR 3 for Initial Briefs (Electric)" xfId="813"/>
    <cellStyle name="_Costs not in AURORA 2007 Rate Case_Book2_Adj Bench DR 3 for Initial Briefs (Electric) 2" xfId="814"/>
    <cellStyle name="_Costs not in AURORA 2007 Rate Case_Book2_Adj Bench DR 3 for Initial Briefs (Electric) 2 2" xfId="5768"/>
    <cellStyle name="_Costs not in AURORA 2007 Rate Case_Book2_Adj Bench DR 3 for Initial Briefs (Electric) 3" xfId="5769"/>
    <cellStyle name="_Costs not in AURORA 2007 Rate Case_Book2_Electric Rev Req Model (2009 GRC) Rebuttal" xfId="815"/>
    <cellStyle name="_Costs not in AURORA 2007 Rate Case_Book2_Electric Rev Req Model (2009 GRC) Rebuttal 2" xfId="3777"/>
    <cellStyle name="_Costs not in AURORA 2007 Rate Case_Book2_Electric Rev Req Model (2009 GRC) Rebuttal 2 2" xfId="5770"/>
    <cellStyle name="_Costs not in AURORA 2007 Rate Case_Book2_Electric Rev Req Model (2009 GRC) Rebuttal 3" xfId="5771"/>
    <cellStyle name="_Costs not in AURORA 2007 Rate Case_Book2_Electric Rev Req Model (2009 GRC) Rebuttal REmoval of New  WH Solar AdjustMI" xfId="816"/>
    <cellStyle name="_Costs not in AURORA 2007 Rate Case_Book2_Electric Rev Req Model (2009 GRC) Rebuttal REmoval of New  WH Solar AdjustMI 2" xfId="817"/>
    <cellStyle name="_Costs not in AURORA 2007 Rate Case_Book2_Electric Rev Req Model (2009 GRC) Rebuttal REmoval of New  WH Solar AdjustMI 2 2" xfId="5772"/>
    <cellStyle name="_Costs not in AURORA 2007 Rate Case_Book2_Electric Rev Req Model (2009 GRC) Rebuttal REmoval of New  WH Solar AdjustMI 3" xfId="5773"/>
    <cellStyle name="_Costs not in AURORA 2007 Rate Case_Book2_Electric Rev Req Model (2009 GRC) Revised 01-18-2010" xfId="818"/>
    <cellStyle name="_Costs not in AURORA 2007 Rate Case_Book2_Electric Rev Req Model (2009 GRC) Revised 01-18-2010 2" xfId="819"/>
    <cellStyle name="_Costs not in AURORA 2007 Rate Case_Book2_Electric Rev Req Model (2009 GRC) Revised 01-18-2010 2 2" xfId="5774"/>
    <cellStyle name="_Costs not in AURORA 2007 Rate Case_Book2_Electric Rev Req Model (2009 GRC) Revised 01-18-2010 3" xfId="5775"/>
    <cellStyle name="_Costs not in AURORA 2007 Rate Case_Book2_Final Order Electric EXHIBIT A-1" xfId="820"/>
    <cellStyle name="_Costs not in AURORA 2007 Rate Case_Book2_Final Order Electric EXHIBIT A-1 2" xfId="3778"/>
    <cellStyle name="_Costs not in AURORA 2007 Rate Case_Book2_Final Order Electric EXHIBIT A-1 2 2" xfId="5776"/>
    <cellStyle name="_Costs not in AURORA 2007 Rate Case_Book2_Final Order Electric EXHIBIT A-1 3" xfId="5777"/>
    <cellStyle name="_Costs not in AURORA 2007 Rate Case_Book4" xfId="821"/>
    <cellStyle name="_Costs not in AURORA 2007 Rate Case_Book4 2" xfId="822"/>
    <cellStyle name="_Costs not in AURORA 2007 Rate Case_Book4 2 2" xfId="5778"/>
    <cellStyle name="_Costs not in AURORA 2007 Rate Case_Book4 3" xfId="5779"/>
    <cellStyle name="_Costs not in AURORA 2007 Rate Case_Book9" xfId="823"/>
    <cellStyle name="_Costs not in AURORA 2007 Rate Case_Book9 2" xfId="824"/>
    <cellStyle name="_Costs not in AURORA 2007 Rate Case_Book9 2 2" xfId="5780"/>
    <cellStyle name="_Costs not in AURORA 2007 Rate Case_Book9 3" xfId="5781"/>
    <cellStyle name="_Costs not in AURORA 2007 Rate Case_Electric COS Inputs" xfId="3779"/>
    <cellStyle name="_Costs not in AURORA 2007 Rate Case_Electric COS Inputs 2" xfId="3780"/>
    <cellStyle name="_Costs not in AURORA 2007 Rate Case_Electric COS Inputs 2 2" xfId="3781"/>
    <cellStyle name="_Costs not in AURORA 2007 Rate Case_Electric COS Inputs 2 2 2" xfId="5782"/>
    <cellStyle name="_Costs not in AURORA 2007 Rate Case_Electric COS Inputs 2 3" xfId="3782"/>
    <cellStyle name="_Costs not in AURORA 2007 Rate Case_Electric COS Inputs 2 3 2" xfId="5783"/>
    <cellStyle name="_Costs not in AURORA 2007 Rate Case_Electric COS Inputs 2 4" xfId="3783"/>
    <cellStyle name="_Costs not in AURORA 2007 Rate Case_Electric COS Inputs 2 4 2" xfId="5784"/>
    <cellStyle name="_Costs not in AURORA 2007 Rate Case_Electric COS Inputs 3" xfId="3784"/>
    <cellStyle name="_Costs not in AURORA 2007 Rate Case_Electric COS Inputs 3 2" xfId="5785"/>
    <cellStyle name="_Costs not in AURORA 2007 Rate Case_Electric COS Inputs 4" xfId="3785"/>
    <cellStyle name="_Costs not in AURORA 2007 Rate Case_Electric COS Inputs 4 2" xfId="5786"/>
    <cellStyle name="_Costs not in AURORA 2007 Rate Case_Electric COS Inputs 5" xfId="5787"/>
    <cellStyle name="_Costs not in AURORA 2007 Rate Case_NIM Summary" xfId="825"/>
    <cellStyle name="_Costs not in AURORA 2007 Rate Case_NIM Summary 09GRC" xfId="826"/>
    <cellStyle name="_Costs not in AURORA 2007 Rate Case_NIM Summary 09GRC 2" xfId="827"/>
    <cellStyle name="_Costs not in AURORA 2007 Rate Case_NIM Summary 2" xfId="828"/>
    <cellStyle name="_Costs not in AURORA 2007 Rate Case_NIM Summary 3" xfId="829"/>
    <cellStyle name="_Costs not in AURORA 2007 Rate Case_NIM Summary 4" xfId="3325"/>
    <cellStyle name="_Costs not in AURORA 2007 Rate Case_NIM Summary 5" xfId="3326"/>
    <cellStyle name="_Costs not in AURORA 2007 Rate Case_NIM Summary 6" xfId="3327"/>
    <cellStyle name="_Costs not in AURORA 2007 Rate Case_NIM Summary 7" xfId="3328"/>
    <cellStyle name="_Costs not in AURORA 2007 Rate Case_NIM Summary 8" xfId="3329"/>
    <cellStyle name="_Costs not in AURORA 2007 Rate Case_NIM Summary 9" xfId="3330"/>
    <cellStyle name="_Costs not in AURORA 2007 Rate Case_PCA 9 -  Exhibit D April 2010 (3)" xfId="830"/>
    <cellStyle name="_Costs not in AURORA 2007 Rate Case_PCA 9 -  Exhibit D April 2010 (3) 2" xfId="831"/>
    <cellStyle name="_Costs not in AURORA 2007 Rate Case_Power Costs - Comparison bx Rbtl-Staff-Jt-PC" xfId="832"/>
    <cellStyle name="_Costs not in AURORA 2007 Rate Case_Power Costs - Comparison bx Rbtl-Staff-Jt-PC 2" xfId="833"/>
    <cellStyle name="_Costs not in AURORA 2007 Rate Case_Power Costs - Comparison bx Rbtl-Staff-Jt-PC 2 2" xfId="5788"/>
    <cellStyle name="_Costs not in AURORA 2007 Rate Case_Power Costs - Comparison bx Rbtl-Staff-Jt-PC 3" xfId="5789"/>
    <cellStyle name="_Costs not in AURORA 2007 Rate Case_Power Costs - Comparison bx Rbtl-Staff-Jt-PC_Adj Bench DR 3 for Initial Briefs (Electric)" xfId="834"/>
    <cellStyle name="_Costs not in AURORA 2007 Rate Case_Power Costs - Comparison bx Rbtl-Staff-Jt-PC_Adj Bench DR 3 for Initial Briefs (Electric) 2" xfId="835"/>
    <cellStyle name="_Costs not in AURORA 2007 Rate Case_Power Costs - Comparison bx Rbtl-Staff-Jt-PC_Adj Bench DR 3 for Initial Briefs (Electric) 2 2" xfId="5790"/>
    <cellStyle name="_Costs not in AURORA 2007 Rate Case_Power Costs - Comparison bx Rbtl-Staff-Jt-PC_Adj Bench DR 3 for Initial Briefs (Electric) 3" xfId="5791"/>
    <cellStyle name="_Costs not in AURORA 2007 Rate Case_Power Costs - Comparison bx Rbtl-Staff-Jt-PC_Electric Rev Req Model (2009 GRC) Rebuttal" xfId="836"/>
    <cellStyle name="_Costs not in AURORA 2007 Rate Case_Power Costs - Comparison bx Rbtl-Staff-Jt-PC_Electric Rev Req Model (2009 GRC) Rebuttal 2" xfId="3786"/>
    <cellStyle name="_Costs not in AURORA 2007 Rate Case_Power Costs - Comparison bx Rbtl-Staff-Jt-PC_Electric Rev Req Model (2009 GRC) Rebuttal 2 2" xfId="5792"/>
    <cellStyle name="_Costs not in AURORA 2007 Rate Case_Power Costs - Comparison bx Rbtl-Staff-Jt-PC_Electric Rev Req Model (2009 GRC) Rebuttal 3" xfId="5793"/>
    <cellStyle name="_Costs not in AURORA 2007 Rate Case_Power Costs - Comparison bx Rbtl-Staff-Jt-PC_Electric Rev Req Model (2009 GRC) Rebuttal REmoval of New  WH Solar AdjustMI" xfId="837"/>
    <cellStyle name="_Costs not in AURORA 2007 Rate Case_Power Costs - Comparison bx Rbtl-Staff-Jt-PC_Electric Rev Req Model (2009 GRC) Rebuttal REmoval of New  WH Solar AdjustMI 2" xfId="838"/>
    <cellStyle name="_Costs not in AURORA 2007 Rate Case_Power Costs - Comparison bx Rbtl-Staff-Jt-PC_Electric Rev Req Model (2009 GRC) Rebuttal REmoval of New  WH Solar AdjustMI 2 2" xfId="5794"/>
    <cellStyle name="_Costs not in AURORA 2007 Rate Case_Power Costs - Comparison bx Rbtl-Staff-Jt-PC_Electric Rev Req Model (2009 GRC) Rebuttal REmoval of New  WH Solar AdjustMI 3" xfId="5795"/>
    <cellStyle name="_Costs not in AURORA 2007 Rate Case_Power Costs - Comparison bx Rbtl-Staff-Jt-PC_Electric Rev Req Model (2009 GRC) Revised 01-18-2010" xfId="839"/>
    <cellStyle name="_Costs not in AURORA 2007 Rate Case_Power Costs - Comparison bx Rbtl-Staff-Jt-PC_Electric Rev Req Model (2009 GRC) Revised 01-18-2010 2" xfId="840"/>
    <cellStyle name="_Costs not in AURORA 2007 Rate Case_Power Costs - Comparison bx Rbtl-Staff-Jt-PC_Electric Rev Req Model (2009 GRC) Revised 01-18-2010 2 2" xfId="5796"/>
    <cellStyle name="_Costs not in AURORA 2007 Rate Case_Power Costs - Comparison bx Rbtl-Staff-Jt-PC_Electric Rev Req Model (2009 GRC) Revised 01-18-2010 3" xfId="5797"/>
    <cellStyle name="_Costs not in AURORA 2007 Rate Case_Power Costs - Comparison bx Rbtl-Staff-Jt-PC_Final Order Electric EXHIBIT A-1" xfId="841"/>
    <cellStyle name="_Costs not in AURORA 2007 Rate Case_Power Costs - Comparison bx Rbtl-Staff-Jt-PC_Final Order Electric EXHIBIT A-1 2" xfId="3787"/>
    <cellStyle name="_Costs not in AURORA 2007 Rate Case_Power Costs - Comparison bx Rbtl-Staff-Jt-PC_Final Order Electric EXHIBIT A-1 2 2" xfId="5798"/>
    <cellStyle name="_Costs not in AURORA 2007 Rate Case_Power Costs - Comparison bx Rbtl-Staff-Jt-PC_Final Order Electric EXHIBIT A-1 3" xfId="5799"/>
    <cellStyle name="_Costs not in AURORA 2007 Rate Case_Production Adj 4.37" xfId="3788"/>
    <cellStyle name="_Costs not in AURORA 2007 Rate Case_Production Adj 4.37 2" xfId="3789"/>
    <cellStyle name="_Costs not in AURORA 2007 Rate Case_Production Adj 4.37 2 2" xfId="5800"/>
    <cellStyle name="_Costs not in AURORA 2007 Rate Case_Production Adj 4.37 3" xfId="5801"/>
    <cellStyle name="_Costs not in AURORA 2007 Rate Case_Purchased Power Adj 4.03" xfId="3790"/>
    <cellStyle name="_Costs not in AURORA 2007 Rate Case_Purchased Power Adj 4.03 2" xfId="3791"/>
    <cellStyle name="_Costs not in AURORA 2007 Rate Case_Purchased Power Adj 4.03 2 2" xfId="5802"/>
    <cellStyle name="_Costs not in AURORA 2007 Rate Case_Purchased Power Adj 4.03 3" xfId="5803"/>
    <cellStyle name="_Costs not in AURORA 2007 Rate Case_Rebuttal Power Costs" xfId="842"/>
    <cellStyle name="_Costs not in AURORA 2007 Rate Case_Rebuttal Power Costs 2" xfId="843"/>
    <cellStyle name="_Costs not in AURORA 2007 Rate Case_Rebuttal Power Costs 2 2" xfId="5804"/>
    <cellStyle name="_Costs not in AURORA 2007 Rate Case_Rebuttal Power Costs 3" xfId="5805"/>
    <cellStyle name="_Costs not in AURORA 2007 Rate Case_Rebuttal Power Costs_Adj Bench DR 3 for Initial Briefs (Electric)" xfId="844"/>
    <cellStyle name="_Costs not in AURORA 2007 Rate Case_Rebuttal Power Costs_Adj Bench DR 3 for Initial Briefs (Electric) 2" xfId="845"/>
    <cellStyle name="_Costs not in AURORA 2007 Rate Case_Rebuttal Power Costs_Adj Bench DR 3 for Initial Briefs (Electric) 2 2" xfId="5806"/>
    <cellStyle name="_Costs not in AURORA 2007 Rate Case_Rebuttal Power Costs_Adj Bench DR 3 for Initial Briefs (Electric) 3" xfId="5807"/>
    <cellStyle name="_Costs not in AURORA 2007 Rate Case_Rebuttal Power Costs_Electric Rev Req Model (2009 GRC) Rebuttal" xfId="846"/>
    <cellStyle name="_Costs not in AURORA 2007 Rate Case_Rebuttal Power Costs_Electric Rev Req Model (2009 GRC) Rebuttal 2" xfId="3792"/>
    <cellStyle name="_Costs not in AURORA 2007 Rate Case_Rebuttal Power Costs_Electric Rev Req Model (2009 GRC) Rebuttal 2 2" xfId="5808"/>
    <cellStyle name="_Costs not in AURORA 2007 Rate Case_Rebuttal Power Costs_Electric Rev Req Model (2009 GRC) Rebuttal 3" xfId="5809"/>
    <cellStyle name="_Costs not in AURORA 2007 Rate Case_Rebuttal Power Costs_Electric Rev Req Model (2009 GRC) Rebuttal REmoval of New  WH Solar AdjustMI" xfId="847"/>
    <cellStyle name="_Costs not in AURORA 2007 Rate Case_Rebuttal Power Costs_Electric Rev Req Model (2009 GRC) Rebuttal REmoval of New  WH Solar AdjustMI 2" xfId="848"/>
    <cellStyle name="_Costs not in AURORA 2007 Rate Case_Rebuttal Power Costs_Electric Rev Req Model (2009 GRC) Rebuttal REmoval of New  WH Solar AdjustMI 2 2" xfId="5810"/>
    <cellStyle name="_Costs not in AURORA 2007 Rate Case_Rebuttal Power Costs_Electric Rev Req Model (2009 GRC) Rebuttal REmoval of New  WH Solar AdjustMI 3" xfId="5811"/>
    <cellStyle name="_Costs not in AURORA 2007 Rate Case_Rebuttal Power Costs_Electric Rev Req Model (2009 GRC) Revised 01-18-2010" xfId="849"/>
    <cellStyle name="_Costs not in AURORA 2007 Rate Case_Rebuttal Power Costs_Electric Rev Req Model (2009 GRC) Revised 01-18-2010 2" xfId="850"/>
    <cellStyle name="_Costs not in AURORA 2007 Rate Case_Rebuttal Power Costs_Electric Rev Req Model (2009 GRC) Revised 01-18-2010 2 2" xfId="5812"/>
    <cellStyle name="_Costs not in AURORA 2007 Rate Case_Rebuttal Power Costs_Electric Rev Req Model (2009 GRC) Revised 01-18-2010 3" xfId="5813"/>
    <cellStyle name="_Costs not in AURORA 2007 Rate Case_Rebuttal Power Costs_Final Order Electric EXHIBIT A-1" xfId="851"/>
    <cellStyle name="_Costs not in AURORA 2007 Rate Case_Rebuttal Power Costs_Final Order Electric EXHIBIT A-1 2" xfId="3793"/>
    <cellStyle name="_Costs not in AURORA 2007 Rate Case_Rebuttal Power Costs_Final Order Electric EXHIBIT A-1 2 2" xfId="5814"/>
    <cellStyle name="_Costs not in AURORA 2007 Rate Case_Rebuttal Power Costs_Final Order Electric EXHIBIT A-1 3" xfId="5815"/>
    <cellStyle name="_Costs not in AURORA 2007 Rate Case_ROR 5.02" xfId="3794"/>
    <cellStyle name="_Costs not in AURORA 2007 Rate Case_ROR 5.02 2" xfId="3795"/>
    <cellStyle name="_Costs not in AURORA 2007 Rate Case_ROR 5.02 2 2" xfId="5816"/>
    <cellStyle name="_Costs not in AURORA 2007 Rate Case_ROR 5.02 3" xfId="5817"/>
    <cellStyle name="_Costs not in AURORA 2007 Rate Case_Transmission Workbook for May BOD" xfId="852"/>
    <cellStyle name="_Costs not in AURORA 2007 Rate Case_Transmission Workbook for May BOD 2" xfId="853"/>
    <cellStyle name="_Costs not in AURORA 2007 Rate Case_Wind Integration 10GRC" xfId="854"/>
    <cellStyle name="_Costs not in AURORA 2007 Rate Case_Wind Integration 10GRC 2" xfId="855"/>
    <cellStyle name="_Costs not in KWI3000 '06Budget" xfId="856"/>
    <cellStyle name="_Costs not in KWI3000 '06Budget 2" xfId="857"/>
    <cellStyle name="_Costs not in KWI3000 '06Budget 2 2" xfId="858"/>
    <cellStyle name="_Costs not in KWI3000 '06Budget 2 2 2" xfId="5818"/>
    <cellStyle name="_Costs not in KWI3000 '06Budget 2 3" xfId="5819"/>
    <cellStyle name="_Costs not in KWI3000 '06Budget 3" xfId="859"/>
    <cellStyle name="_Costs not in KWI3000 '06Budget 3 2" xfId="3796"/>
    <cellStyle name="_Costs not in KWI3000 '06Budget 3 2 2" xfId="5820"/>
    <cellStyle name="_Costs not in KWI3000 '06Budget 3 3" xfId="3797"/>
    <cellStyle name="_Costs not in KWI3000 '06Budget 3 3 2" xfId="5821"/>
    <cellStyle name="_Costs not in KWI3000 '06Budget 3 4" xfId="3798"/>
    <cellStyle name="_Costs not in KWI3000 '06Budget 3 4 2" xfId="5822"/>
    <cellStyle name="_Costs not in KWI3000 '06Budget 4" xfId="860"/>
    <cellStyle name="_Costs not in KWI3000 '06Budget 4 2" xfId="3331"/>
    <cellStyle name="_Costs not in KWI3000 '06Budget 5" xfId="5823"/>
    <cellStyle name="_Costs not in KWI3000 '06Budget_(C) WHE Proforma with ITC cash grant 10 Yr Amort_for deferral_102809" xfId="861"/>
    <cellStyle name="_Costs not in KWI3000 '06Budget_(C) WHE Proforma with ITC cash grant 10 Yr Amort_for deferral_102809 2" xfId="862"/>
    <cellStyle name="_Costs not in KWI3000 '06Budget_(C) WHE Proforma with ITC cash grant 10 Yr Amort_for deferral_102809 2 2" xfId="5824"/>
    <cellStyle name="_Costs not in KWI3000 '06Budget_(C) WHE Proforma with ITC cash grant 10 Yr Amort_for deferral_102809 3" xfId="5825"/>
    <cellStyle name="_Costs not in KWI3000 '06Budget_(C) WHE Proforma with ITC cash grant 10 Yr Amort_for deferral_102809_16.07E Wild Horse Wind Expansionwrkingfile" xfId="863"/>
    <cellStyle name="_Costs not in KWI3000 '06Budget_(C) WHE Proforma with ITC cash grant 10 Yr Amort_for deferral_102809_16.07E Wild Horse Wind Expansionwrkingfile 2" xfId="864"/>
    <cellStyle name="_Costs not in KWI3000 '06Budget_(C) WHE Proforma with ITC cash grant 10 Yr Amort_for deferral_102809_16.07E Wild Horse Wind Expansionwrkingfile 2 2" xfId="5826"/>
    <cellStyle name="_Costs not in KWI3000 '06Budget_(C) WHE Proforma with ITC cash grant 10 Yr Amort_for deferral_102809_16.07E Wild Horse Wind Expansionwrkingfile 3" xfId="5827"/>
    <cellStyle name="_Costs not in KWI3000 '06Budget_(C) WHE Proforma with ITC cash grant 10 Yr Amort_for deferral_102809_16.07E Wild Horse Wind Expansionwrkingfile SF" xfId="865"/>
    <cellStyle name="_Costs not in KWI3000 '06Budget_(C) WHE Proforma with ITC cash grant 10 Yr Amort_for deferral_102809_16.07E Wild Horse Wind Expansionwrkingfile SF 2" xfId="866"/>
    <cellStyle name="_Costs not in KWI3000 '06Budget_(C) WHE Proforma with ITC cash grant 10 Yr Amort_for deferral_102809_16.07E Wild Horse Wind Expansionwrkingfile SF 2 2" xfId="5828"/>
    <cellStyle name="_Costs not in KWI3000 '06Budget_(C) WHE Proforma with ITC cash grant 10 Yr Amort_for deferral_102809_16.07E Wild Horse Wind Expansionwrkingfile SF 3" xfId="5829"/>
    <cellStyle name="_Costs not in KWI3000 '06Budget_(C) WHE Proforma with ITC cash grant 10 Yr Amort_for deferral_102809_16.37E Wild Horse Expansion DeferralRevwrkingfile SF" xfId="867"/>
    <cellStyle name="_Costs not in KWI3000 '06Budget_(C) WHE Proforma with ITC cash grant 10 Yr Amort_for deferral_102809_16.37E Wild Horse Expansion DeferralRevwrkingfile SF 2" xfId="868"/>
    <cellStyle name="_Costs not in KWI3000 '06Budget_(C) WHE Proforma with ITC cash grant 10 Yr Amort_for deferral_102809_16.37E Wild Horse Expansion DeferralRevwrkingfile SF 2 2" xfId="5830"/>
    <cellStyle name="_Costs not in KWI3000 '06Budget_(C) WHE Proforma with ITC cash grant 10 Yr Amort_for deferral_102809_16.37E Wild Horse Expansion DeferralRevwrkingfile SF 3" xfId="5831"/>
    <cellStyle name="_Costs not in KWI3000 '06Budget_(C) WHE Proforma with ITC cash grant 10 Yr Amort_for rebuttal_120709" xfId="869"/>
    <cellStyle name="_Costs not in KWI3000 '06Budget_(C) WHE Proforma with ITC cash grant 10 Yr Amort_for rebuttal_120709 2" xfId="870"/>
    <cellStyle name="_Costs not in KWI3000 '06Budget_(C) WHE Proforma with ITC cash grant 10 Yr Amort_for rebuttal_120709 2 2" xfId="5832"/>
    <cellStyle name="_Costs not in KWI3000 '06Budget_(C) WHE Proforma with ITC cash grant 10 Yr Amort_for rebuttal_120709 3" xfId="5833"/>
    <cellStyle name="_Costs not in KWI3000 '06Budget_04.07E Wild Horse Wind Expansion" xfId="871"/>
    <cellStyle name="_Costs not in KWI3000 '06Budget_04.07E Wild Horse Wind Expansion 2" xfId="872"/>
    <cellStyle name="_Costs not in KWI3000 '06Budget_04.07E Wild Horse Wind Expansion 2 2" xfId="5834"/>
    <cellStyle name="_Costs not in KWI3000 '06Budget_04.07E Wild Horse Wind Expansion 3" xfId="5835"/>
    <cellStyle name="_Costs not in KWI3000 '06Budget_04.07E Wild Horse Wind Expansion_16.07E Wild Horse Wind Expansionwrkingfile" xfId="873"/>
    <cellStyle name="_Costs not in KWI3000 '06Budget_04.07E Wild Horse Wind Expansion_16.07E Wild Horse Wind Expansionwrkingfile 2" xfId="874"/>
    <cellStyle name="_Costs not in KWI3000 '06Budget_04.07E Wild Horse Wind Expansion_16.07E Wild Horse Wind Expansionwrkingfile 2 2" xfId="5836"/>
    <cellStyle name="_Costs not in KWI3000 '06Budget_04.07E Wild Horse Wind Expansion_16.07E Wild Horse Wind Expansionwrkingfile 3" xfId="5837"/>
    <cellStyle name="_Costs not in KWI3000 '06Budget_04.07E Wild Horse Wind Expansion_16.07E Wild Horse Wind Expansionwrkingfile SF" xfId="875"/>
    <cellStyle name="_Costs not in KWI3000 '06Budget_04.07E Wild Horse Wind Expansion_16.07E Wild Horse Wind Expansionwrkingfile SF 2" xfId="876"/>
    <cellStyle name="_Costs not in KWI3000 '06Budget_04.07E Wild Horse Wind Expansion_16.07E Wild Horse Wind Expansionwrkingfile SF 2 2" xfId="5838"/>
    <cellStyle name="_Costs not in KWI3000 '06Budget_04.07E Wild Horse Wind Expansion_16.07E Wild Horse Wind Expansionwrkingfile SF 3" xfId="5839"/>
    <cellStyle name="_Costs not in KWI3000 '06Budget_04.07E Wild Horse Wind Expansion_16.37E Wild Horse Expansion DeferralRevwrkingfile SF" xfId="877"/>
    <cellStyle name="_Costs not in KWI3000 '06Budget_04.07E Wild Horse Wind Expansion_16.37E Wild Horse Expansion DeferralRevwrkingfile SF 2" xfId="878"/>
    <cellStyle name="_Costs not in KWI3000 '06Budget_04.07E Wild Horse Wind Expansion_16.37E Wild Horse Expansion DeferralRevwrkingfile SF 2 2" xfId="5840"/>
    <cellStyle name="_Costs not in KWI3000 '06Budget_04.07E Wild Horse Wind Expansion_16.37E Wild Horse Expansion DeferralRevwrkingfile SF 3" xfId="5841"/>
    <cellStyle name="_Costs not in KWI3000 '06Budget_16.07E Wild Horse Wind Expansionwrkingfile" xfId="879"/>
    <cellStyle name="_Costs not in KWI3000 '06Budget_16.07E Wild Horse Wind Expansionwrkingfile 2" xfId="880"/>
    <cellStyle name="_Costs not in KWI3000 '06Budget_16.07E Wild Horse Wind Expansionwrkingfile 2 2" xfId="5842"/>
    <cellStyle name="_Costs not in KWI3000 '06Budget_16.07E Wild Horse Wind Expansionwrkingfile 3" xfId="5843"/>
    <cellStyle name="_Costs not in KWI3000 '06Budget_16.07E Wild Horse Wind Expansionwrkingfile SF" xfId="881"/>
    <cellStyle name="_Costs not in KWI3000 '06Budget_16.07E Wild Horse Wind Expansionwrkingfile SF 2" xfId="882"/>
    <cellStyle name="_Costs not in KWI3000 '06Budget_16.07E Wild Horse Wind Expansionwrkingfile SF 2 2" xfId="5844"/>
    <cellStyle name="_Costs not in KWI3000 '06Budget_16.07E Wild Horse Wind Expansionwrkingfile SF 3" xfId="5845"/>
    <cellStyle name="_Costs not in KWI3000 '06Budget_16.37E Wild Horse Expansion DeferralRevwrkingfile SF" xfId="883"/>
    <cellStyle name="_Costs not in KWI3000 '06Budget_16.37E Wild Horse Expansion DeferralRevwrkingfile SF 2" xfId="884"/>
    <cellStyle name="_Costs not in KWI3000 '06Budget_16.37E Wild Horse Expansion DeferralRevwrkingfile SF 2 2" xfId="5846"/>
    <cellStyle name="_Costs not in KWI3000 '06Budget_16.37E Wild Horse Expansion DeferralRevwrkingfile SF 3" xfId="5847"/>
    <cellStyle name="_Costs not in KWI3000 '06Budget_2009 GRC Compl Filing - Exhibit D" xfId="885"/>
    <cellStyle name="_Costs not in KWI3000 '06Budget_2009 GRC Compl Filing - Exhibit D 2" xfId="886"/>
    <cellStyle name="_Costs not in KWI3000 '06Budget_4 31 Regulatory Assets and Liabilities  7 06- Exhibit D" xfId="887"/>
    <cellStyle name="_Costs not in KWI3000 '06Budget_4 31 Regulatory Assets and Liabilities  7 06- Exhibit D 2" xfId="888"/>
    <cellStyle name="_Costs not in KWI3000 '06Budget_4 31 Regulatory Assets and Liabilities  7 06- Exhibit D 2 2" xfId="5848"/>
    <cellStyle name="_Costs not in KWI3000 '06Budget_4 31 Regulatory Assets and Liabilities  7 06- Exhibit D 3" xfId="5849"/>
    <cellStyle name="_Costs not in KWI3000 '06Budget_4 31 Regulatory Assets and Liabilities  7 06- Exhibit D_NIM Summary" xfId="889"/>
    <cellStyle name="_Costs not in KWI3000 '06Budget_4 31 Regulatory Assets and Liabilities  7 06- Exhibit D_NIM Summary 2" xfId="890"/>
    <cellStyle name="_Costs not in KWI3000 '06Budget_4 32 Regulatory Assets and Liabilities  7 06- Exhibit D" xfId="891"/>
    <cellStyle name="_Costs not in KWI3000 '06Budget_4 32 Regulatory Assets and Liabilities  7 06- Exhibit D 2" xfId="892"/>
    <cellStyle name="_Costs not in KWI3000 '06Budget_4 32 Regulatory Assets and Liabilities  7 06- Exhibit D 2 2" xfId="5850"/>
    <cellStyle name="_Costs not in KWI3000 '06Budget_4 32 Regulatory Assets and Liabilities  7 06- Exhibit D 3" xfId="5851"/>
    <cellStyle name="_Costs not in KWI3000 '06Budget_4 32 Regulatory Assets and Liabilities  7 06- Exhibit D_NIM Summary" xfId="893"/>
    <cellStyle name="_Costs not in KWI3000 '06Budget_4 32 Regulatory Assets and Liabilities  7 06- Exhibit D_NIM Summary 2" xfId="894"/>
    <cellStyle name="_Costs not in KWI3000 '06Budget_AURORA Total New" xfId="895"/>
    <cellStyle name="_Costs not in KWI3000 '06Budget_AURORA Total New 2" xfId="896"/>
    <cellStyle name="_Costs not in KWI3000 '06Budget_Book2" xfId="897"/>
    <cellStyle name="_Costs not in KWI3000 '06Budget_Book2 2" xfId="898"/>
    <cellStyle name="_Costs not in KWI3000 '06Budget_Book2 2 2" xfId="5852"/>
    <cellStyle name="_Costs not in KWI3000 '06Budget_Book2 3" xfId="5853"/>
    <cellStyle name="_Costs not in KWI3000 '06Budget_Book2_Adj Bench DR 3 for Initial Briefs (Electric)" xfId="899"/>
    <cellStyle name="_Costs not in KWI3000 '06Budget_Book2_Adj Bench DR 3 for Initial Briefs (Electric) 2" xfId="900"/>
    <cellStyle name="_Costs not in KWI3000 '06Budget_Book2_Adj Bench DR 3 for Initial Briefs (Electric) 2 2" xfId="5854"/>
    <cellStyle name="_Costs not in KWI3000 '06Budget_Book2_Adj Bench DR 3 for Initial Briefs (Electric) 3" xfId="5855"/>
    <cellStyle name="_Costs not in KWI3000 '06Budget_Book2_Electric Rev Req Model (2009 GRC) Rebuttal" xfId="901"/>
    <cellStyle name="_Costs not in KWI3000 '06Budget_Book2_Electric Rev Req Model (2009 GRC) Rebuttal 2" xfId="3799"/>
    <cellStyle name="_Costs not in KWI3000 '06Budget_Book2_Electric Rev Req Model (2009 GRC) Rebuttal 2 2" xfId="5856"/>
    <cellStyle name="_Costs not in KWI3000 '06Budget_Book2_Electric Rev Req Model (2009 GRC) Rebuttal 3" xfId="5857"/>
    <cellStyle name="_Costs not in KWI3000 '06Budget_Book2_Electric Rev Req Model (2009 GRC) Rebuttal REmoval of New  WH Solar AdjustMI" xfId="902"/>
    <cellStyle name="_Costs not in KWI3000 '06Budget_Book2_Electric Rev Req Model (2009 GRC) Rebuttal REmoval of New  WH Solar AdjustMI 2" xfId="903"/>
    <cellStyle name="_Costs not in KWI3000 '06Budget_Book2_Electric Rev Req Model (2009 GRC) Rebuttal REmoval of New  WH Solar AdjustMI 2 2" xfId="5858"/>
    <cellStyle name="_Costs not in KWI3000 '06Budget_Book2_Electric Rev Req Model (2009 GRC) Rebuttal REmoval of New  WH Solar AdjustMI 3" xfId="5859"/>
    <cellStyle name="_Costs not in KWI3000 '06Budget_Book2_Electric Rev Req Model (2009 GRC) Revised 01-18-2010" xfId="904"/>
    <cellStyle name="_Costs not in KWI3000 '06Budget_Book2_Electric Rev Req Model (2009 GRC) Revised 01-18-2010 2" xfId="905"/>
    <cellStyle name="_Costs not in KWI3000 '06Budget_Book2_Electric Rev Req Model (2009 GRC) Revised 01-18-2010 2 2" xfId="5860"/>
    <cellStyle name="_Costs not in KWI3000 '06Budget_Book2_Electric Rev Req Model (2009 GRC) Revised 01-18-2010 3" xfId="5861"/>
    <cellStyle name="_Costs not in KWI3000 '06Budget_Book2_Final Order Electric EXHIBIT A-1" xfId="906"/>
    <cellStyle name="_Costs not in KWI3000 '06Budget_Book2_Final Order Electric EXHIBIT A-1 2" xfId="3800"/>
    <cellStyle name="_Costs not in KWI3000 '06Budget_Book2_Final Order Electric EXHIBIT A-1 2 2" xfId="5862"/>
    <cellStyle name="_Costs not in KWI3000 '06Budget_Book2_Final Order Electric EXHIBIT A-1 3" xfId="5863"/>
    <cellStyle name="_Costs not in KWI3000 '06Budget_Book4" xfId="907"/>
    <cellStyle name="_Costs not in KWI3000 '06Budget_Book4 2" xfId="908"/>
    <cellStyle name="_Costs not in KWI3000 '06Budget_Book4 2 2" xfId="5864"/>
    <cellStyle name="_Costs not in KWI3000 '06Budget_Book4 3" xfId="5865"/>
    <cellStyle name="_Costs not in KWI3000 '06Budget_Book9" xfId="909"/>
    <cellStyle name="_Costs not in KWI3000 '06Budget_Book9 2" xfId="910"/>
    <cellStyle name="_Costs not in KWI3000 '06Budget_Book9 2 2" xfId="5866"/>
    <cellStyle name="_Costs not in KWI3000 '06Budget_Book9 3" xfId="5867"/>
    <cellStyle name="_Costs not in KWI3000 '06Budget_Exhibit D fr R Gho 12-31-08" xfId="911"/>
    <cellStyle name="_Costs not in KWI3000 '06Budget_Exhibit D fr R Gho 12-31-08 2" xfId="912"/>
    <cellStyle name="_Costs not in KWI3000 '06Budget_Exhibit D fr R Gho 12-31-08 v2" xfId="913"/>
    <cellStyle name="_Costs not in KWI3000 '06Budget_Exhibit D fr R Gho 12-31-08 v2 2" xfId="914"/>
    <cellStyle name="_Costs not in KWI3000 '06Budget_Exhibit D fr R Gho 12-31-08 v2_NIM Summary" xfId="915"/>
    <cellStyle name="_Costs not in KWI3000 '06Budget_Exhibit D fr R Gho 12-31-08 v2_NIM Summary 2" xfId="916"/>
    <cellStyle name="_Costs not in KWI3000 '06Budget_Exhibit D fr R Gho 12-31-08_NIM Summary" xfId="917"/>
    <cellStyle name="_Costs not in KWI3000 '06Budget_Exhibit D fr R Gho 12-31-08_NIM Summary 2" xfId="918"/>
    <cellStyle name="_Costs not in KWI3000 '06Budget_Hopkins Ridge Prepaid Tran - Interest Earned RY 12ME Feb  '11" xfId="919"/>
    <cellStyle name="_Costs not in KWI3000 '06Budget_Hopkins Ridge Prepaid Tran - Interest Earned RY 12ME Feb  '11 2" xfId="920"/>
    <cellStyle name="_Costs not in KWI3000 '06Budget_Hopkins Ridge Prepaid Tran - Interest Earned RY 12ME Feb  '11_NIM Summary" xfId="921"/>
    <cellStyle name="_Costs not in KWI3000 '06Budget_Hopkins Ridge Prepaid Tran - Interest Earned RY 12ME Feb  '11_NIM Summary 2" xfId="922"/>
    <cellStyle name="_Costs not in KWI3000 '06Budget_Hopkins Ridge Prepaid Tran - Interest Earned RY 12ME Feb  '11_Transmission Workbook for May BOD" xfId="923"/>
    <cellStyle name="_Costs not in KWI3000 '06Budget_Hopkins Ridge Prepaid Tran - Interest Earned RY 12ME Feb  '11_Transmission Workbook for May BOD 2" xfId="924"/>
    <cellStyle name="_Costs not in KWI3000 '06Budget_INPUTS" xfId="3801"/>
    <cellStyle name="_Costs not in KWI3000 '06Budget_INPUTS 2" xfId="3802"/>
    <cellStyle name="_Costs not in KWI3000 '06Budget_INPUTS 2 2" xfId="5868"/>
    <cellStyle name="_Costs not in KWI3000 '06Budget_INPUTS 3" xfId="5869"/>
    <cellStyle name="_Costs not in KWI3000 '06Budget_NIM Summary" xfId="925"/>
    <cellStyle name="_Costs not in KWI3000 '06Budget_NIM Summary 09GRC" xfId="926"/>
    <cellStyle name="_Costs not in KWI3000 '06Budget_NIM Summary 09GRC 2" xfId="927"/>
    <cellStyle name="_Costs not in KWI3000 '06Budget_NIM Summary 2" xfId="928"/>
    <cellStyle name="_Costs not in KWI3000 '06Budget_NIM Summary 3" xfId="929"/>
    <cellStyle name="_Costs not in KWI3000 '06Budget_NIM Summary 4" xfId="3332"/>
    <cellStyle name="_Costs not in KWI3000 '06Budget_NIM Summary 5" xfId="3333"/>
    <cellStyle name="_Costs not in KWI3000 '06Budget_NIM Summary 6" xfId="3334"/>
    <cellStyle name="_Costs not in KWI3000 '06Budget_NIM Summary 7" xfId="3335"/>
    <cellStyle name="_Costs not in KWI3000 '06Budget_NIM Summary 8" xfId="3336"/>
    <cellStyle name="_Costs not in KWI3000 '06Budget_NIM Summary 9" xfId="3337"/>
    <cellStyle name="_Costs not in KWI3000 '06Budget_PCA 7 - Exhibit D update 11_30_08 (2)" xfId="930"/>
    <cellStyle name="_Costs not in KWI3000 '06Budget_PCA 7 - Exhibit D update 11_30_08 (2) 2" xfId="931"/>
    <cellStyle name="_Costs not in KWI3000 '06Budget_PCA 7 - Exhibit D update 11_30_08 (2) 2 2" xfId="932"/>
    <cellStyle name="_Costs not in KWI3000 '06Budget_PCA 7 - Exhibit D update 11_30_08 (2) 3" xfId="933"/>
    <cellStyle name="_Costs not in KWI3000 '06Budget_PCA 7 - Exhibit D update 11_30_08 (2)_NIM Summary" xfId="934"/>
    <cellStyle name="_Costs not in KWI3000 '06Budget_PCA 7 - Exhibit D update 11_30_08 (2)_NIM Summary 2" xfId="935"/>
    <cellStyle name="_Costs not in KWI3000 '06Budget_PCA 9 -  Exhibit D April 2010 (3)" xfId="936"/>
    <cellStyle name="_Costs not in KWI3000 '06Budget_PCA 9 -  Exhibit D April 2010 (3) 2" xfId="937"/>
    <cellStyle name="_Costs not in KWI3000 '06Budget_Power Costs - Comparison bx Rbtl-Staff-Jt-PC" xfId="938"/>
    <cellStyle name="_Costs not in KWI3000 '06Budget_Power Costs - Comparison bx Rbtl-Staff-Jt-PC 2" xfId="939"/>
    <cellStyle name="_Costs not in KWI3000 '06Budget_Power Costs - Comparison bx Rbtl-Staff-Jt-PC 2 2" xfId="5870"/>
    <cellStyle name="_Costs not in KWI3000 '06Budget_Power Costs - Comparison bx Rbtl-Staff-Jt-PC 3" xfId="5871"/>
    <cellStyle name="_Costs not in KWI3000 '06Budget_Power Costs - Comparison bx Rbtl-Staff-Jt-PC_Adj Bench DR 3 for Initial Briefs (Electric)" xfId="940"/>
    <cellStyle name="_Costs not in KWI3000 '06Budget_Power Costs - Comparison bx Rbtl-Staff-Jt-PC_Adj Bench DR 3 for Initial Briefs (Electric) 2" xfId="941"/>
    <cellStyle name="_Costs not in KWI3000 '06Budget_Power Costs - Comparison bx Rbtl-Staff-Jt-PC_Adj Bench DR 3 for Initial Briefs (Electric) 2 2" xfId="5872"/>
    <cellStyle name="_Costs not in KWI3000 '06Budget_Power Costs - Comparison bx Rbtl-Staff-Jt-PC_Adj Bench DR 3 for Initial Briefs (Electric) 3" xfId="5873"/>
    <cellStyle name="_Costs not in KWI3000 '06Budget_Power Costs - Comparison bx Rbtl-Staff-Jt-PC_Electric Rev Req Model (2009 GRC) Rebuttal" xfId="942"/>
    <cellStyle name="_Costs not in KWI3000 '06Budget_Power Costs - Comparison bx Rbtl-Staff-Jt-PC_Electric Rev Req Model (2009 GRC) Rebuttal 2" xfId="3803"/>
    <cellStyle name="_Costs not in KWI3000 '06Budget_Power Costs - Comparison bx Rbtl-Staff-Jt-PC_Electric Rev Req Model (2009 GRC) Rebuttal 2 2" xfId="5874"/>
    <cellStyle name="_Costs not in KWI3000 '06Budget_Power Costs - Comparison bx Rbtl-Staff-Jt-PC_Electric Rev Req Model (2009 GRC) Rebuttal 3" xfId="5875"/>
    <cellStyle name="_Costs not in KWI3000 '06Budget_Power Costs - Comparison bx Rbtl-Staff-Jt-PC_Electric Rev Req Model (2009 GRC) Rebuttal REmoval of New  WH Solar AdjustMI" xfId="943"/>
    <cellStyle name="_Costs not in KWI3000 '06Budget_Power Costs - Comparison bx Rbtl-Staff-Jt-PC_Electric Rev Req Model (2009 GRC) Rebuttal REmoval of New  WH Solar AdjustMI 2" xfId="944"/>
    <cellStyle name="_Costs not in KWI3000 '06Budget_Power Costs - Comparison bx Rbtl-Staff-Jt-PC_Electric Rev Req Model (2009 GRC) Rebuttal REmoval of New  WH Solar AdjustMI 2 2" xfId="5876"/>
    <cellStyle name="_Costs not in KWI3000 '06Budget_Power Costs - Comparison bx Rbtl-Staff-Jt-PC_Electric Rev Req Model (2009 GRC) Rebuttal REmoval of New  WH Solar AdjustMI 3" xfId="5877"/>
    <cellStyle name="_Costs not in KWI3000 '06Budget_Power Costs - Comparison bx Rbtl-Staff-Jt-PC_Electric Rev Req Model (2009 GRC) Revised 01-18-2010" xfId="945"/>
    <cellStyle name="_Costs not in KWI3000 '06Budget_Power Costs - Comparison bx Rbtl-Staff-Jt-PC_Electric Rev Req Model (2009 GRC) Revised 01-18-2010 2" xfId="946"/>
    <cellStyle name="_Costs not in KWI3000 '06Budget_Power Costs - Comparison bx Rbtl-Staff-Jt-PC_Electric Rev Req Model (2009 GRC) Revised 01-18-2010 2 2" xfId="5878"/>
    <cellStyle name="_Costs not in KWI3000 '06Budget_Power Costs - Comparison bx Rbtl-Staff-Jt-PC_Electric Rev Req Model (2009 GRC) Revised 01-18-2010 3" xfId="5879"/>
    <cellStyle name="_Costs not in KWI3000 '06Budget_Power Costs - Comparison bx Rbtl-Staff-Jt-PC_Final Order Electric EXHIBIT A-1" xfId="947"/>
    <cellStyle name="_Costs not in KWI3000 '06Budget_Power Costs - Comparison bx Rbtl-Staff-Jt-PC_Final Order Electric EXHIBIT A-1 2" xfId="3804"/>
    <cellStyle name="_Costs not in KWI3000 '06Budget_Power Costs - Comparison bx Rbtl-Staff-Jt-PC_Final Order Electric EXHIBIT A-1 2 2" xfId="5880"/>
    <cellStyle name="_Costs not in KWI3000 '06Budget_Power Costs - Comparison bx Rbtl-Staff-Jt-PC_Final Order Electric EXHIBIT A-1 3" xfId="5881"/>
    <cellStyle name="_Costs not in KWI3000 '06Budget_Production Adj 4.37" xfId="3805"/>
    <cellStyle name="_Costs not in KWI3000 '06Budget_Production Adj 4.37 2" xfId="3806"/>
    <cellStyle name="_Costs not in KWI3000 '06Budget_Production Adj 4.37 2 2" xfId="5882"/>
    <cellStyle name="_Costs not in KWI3000 '06Budget_Production Adj 4.37 3" xfId="5883"/>
    <cellStyle name="_Costs not in KWI3000 '06Budget_Purchased Power Adj 4.03" xfId="3807"/>
    <cellStyle name="_Costs not in KWI3000 '06Budget_Purchased Power Adj 4.03 2" xfId="3808"/>
    <cellStyle name="_Costs not in KWI3000 '06Budget_Purchased Power Adj 4.03 2 2" xfId="5884"/>
    <cellStyle name="_Costs not in KWI3000 '06Budget_Purchased Power Adj 4.03 3" xfId="5885"/>
    <cellStyle name="_Costs not in KWI3000 '06Budget_Rebuttal Power Costs" xfId="948"/>
    <cellStyle name="_Costs not in KWI3000 '06Budget_Rebuttal Power Costs 2" xfId="949"/>
    <cellStyle name="_Costs not in KWI3000 '06Budget_Rebuttal Power Costs 2 2" xfId="5886"/>
    <cellStyle name="_Costs not in KWI3000 '06Budget_Rebuttal Power Costs 3" xfId="5887"/>
    <cellStyle name="_Costs not in KWI3000 '06Budget_Rebuttal Power Costs_Adj Bench DR 3 for Initial Briefs (Electric)" xfId="950"/>
    <cellStyle name="_Costs not in KWI3000 '06Budget_Rebuttal Power Costs_Adj Bench DR 3 for Initial Briefs (Electric) 2" xfId="951"/>
    <cellStyle name="_Costs not in KWI3000 '06Budget_Rebuttal Power Costs_Adj Bench DR 3 for Initial Briefs (Electric) 2 2" xfId="5888"/>
    <cellStyle name="_Costs not in KWI3000 '06Budget_Rebuttal Power Costs_Adj Bench DR 3 for Initial Briefs (Electric) 3" xfId="5889"/>
    <cellStyle name="_Costs not in KWI3000 '06Budget_Rebuttal Power Costs_Electric Rev Req Model (2009 GRC) Rebuttal" xfId="952"/>
    <cellStyle name="_Costs not in KWI3000 '06Budget_Rebuttal Power Costs_Electric Rev Req Model (2009 GRC) Rebuttal 2" xfId="3809"/>
    <cellStyle name="_Costs not in KWI3000 '06Budget_Rebuttal Power Costs_Electric Rev Req Model (2009 GRC) Rebuttal 2 2" xfId="5890"/>
    <cellStyle name="_Costs not in KWI3000 '06Budget_Rebuttal Power Costs_Electric Rev Req Model (2009 GRC) Rebuttal 3" xfId="5891"/>
    <cellStyle name="_Costs not in KWI3000 '06Budget_Rebuttal Power Costs_Electric Rev Req Model (2009 GRC) Rebuttal REmoval of New  WH Solar AdjustMI" xfId="953"/>
    <cellStyle name="_Costs not in KWI3000 '06Budget_Rebuttal Power Costs_Electric Rev Req Model (2009 GRC) Rebuttal REmoval of New  WH Solar AdjustMI 2" xfId="954"/>
    <cellStyle name="_Costs not in KWI3000 '06Budget_Rebuttal Power Costs_Electric Rev Req Model (2009 GRC) Rebuttal REmoval of New  WH Solar AdjustMI 2 2" xfId="5892"/>
    <cellStyle name="_Costs not in KWI3000 '06Budget_Rebuttal Power Costs_Electric Rev Req Model (2009 GRC) Rebuttal REmoval of New  WH Solar AdjustMI 3" xfId="5893"/>
    <cellStyle name="_Costs not in KWI3000 '06Budget_Rebuttal Power Costs_Electric Rev Req Model (2009 GRC) Revised 01-18-2010" xfId="955"/>
    <cellStyle name="_Costs not in KWI3000 '06Budget_Rebuttal Power Costs_Electric Rev Req Model (2009 GRC) Revised 01-18-2010 2" xfId="956"/>
    <cellStyle name="_Costs not in KWI3000 '06Budget_Rebuttal Power Costs_Electric Rev Req Model (2009 GRC) Revised 01-18-2010 2 2" xfId="5894"/>
    <cellStyle name="_Costs not in KWI3000 '06Budget_Rebuttal Power Costs_Electric Rev Req Model (2009 GRC) Revised 01-18-2010 3" xfId="5895"/>
    <cellStyle name="_Costs not in KWI3000 '06Budget_Rebuttal Power Costs_Final Order Electric EXHIBIT A-1" xfId="957"/>
    <cellStyle name="_Costs not in KWI3000 '06Budget_Rebuttal Power Costs_Final Order Electric EXHIBIT A-1 2" xfId="3810"/>
    <cellStyle name="_Costs not in KWI3000 '06Budget_Rebuttal Power Costs_Final Order Electric EXHIBIT A-1 2 2" xfId="5896"/>
    <cellStyle name="_Costs not in KWI3000 '06Budget_Rebuttal Power Costs_Final Order Electric EXHIBIT A-1 3" xfId="5897"/>
    <cellStyle name="_Costs not in KWI3000 '06Budget_ROR &amp; CONV FACTOR" xfId="3811"/>
    <cellStyle name="_Costs not in KWI3000 '06Budget_ROR &amp; CONV FACTOR 2" xfId="3812"/>
    <cellStyle name="_Costs not in KWI3000 '06Budget_ROR &amp; CONV FACTOR 2 2" xfId="5898"/>
    <cellStyle name="_Costs not in KWI3000 '06Budget_ROR &amp; CONV FACTOR 3" xfId="5899"/>
    <cellStyle name="_Costs not in KWI3000 '06Budget_ROR 5.02" xfId="3813"/>
    <cellStyle name="_Costs not in KWI3000 '06Budget_ROR 5.02 2" xfId="3814"/>
    <cellStyle name="_Costs not in KWI3000 '06Budget_ROR 5.02 2 2" xfId="5900"/>
    <cellStyle name="_Costs not in KWI3000 '06Budget_ROR 5.02 3" xfId="5901"/>
    <cellStyle name="_Costs not in KWI3000 '06Budget_Transmission Workbook for May BOD" xfId="958"/>
    <cellStyle name="_Costs not in KWI3000 '06Budget_Transmission Workbook for May BOD 2" xfId="959"/>
    <cellStyle name="_Costs not in KWI3000 '06Budget_Wind Integration 10GRC" xfId="960"/>
    <cellStyle name="_Costs not in KWI3000 '06Budget_Wind Integration 10GRC 2" xfId="961"/>
    <cellStyle name="_DEM-WP (C) Costs not in AURORA 2006GRC Order 11.30.06 Gas" xfId="962"/>
    <cellStyle name="_DEM-WP (C) Costs not in AURORA 2006GRC Order 11.30.06 Gas 2" xfId="963"/>
    <cellStyle name="_DEM-WP (C) Costs not in AURORA 2006GRC Order 11.30.06 Gas_NIM Summary" xfId="964"/>
    <cellStyle name="_DEM-WP (C) Costs not in AURORA 2006GRC Order 11.30.06 Gas_NIM Summary 2" xfId="965"/>
    <cellStyle name="_DEM-WP (C) Power Cost 2006GRC Order" xfId="966"/>
    <cellStyle name="_DEM-WP (C) Power Cost 2006GRC Order 2" xfId="967"/>
    <cellStyle name="_DEM-WP (C) Power Cost 2006GRC Order 2 2" xfId="968"/>
    <cellStyle name="_DEM-WP (C) Power Cost 2006GRC Order 2 2 2" xfId="5902"/>
    <cellStyle name="_DEM-WP (C) Power Cost 2006GRC Order 2 3" xfId="5903"/>
    <cellStyle name="_DEM-WP (C) Power Cost 2006GRC Order 3" xfId="969"/>
    <cellStyle name="_DEM-WP (C) Power Cost 2006GRC Order 3 2" xfId="5904"/>
    <cellStyle name="_DEM-WP (C) Power Cost 2006GRC Order 4" xfId="970"/>
    <cellStyle name="_DEM-WP (C) Power Cost 2006GRC Order 4 2" xfId="3338"/>
    <cellStyle name="_DEM-WP (C) Power Cost 2006GRC Order_04 07E Wild Horse Wind Expansion (C) (2)" xfId="971"/>
    <cellStyle name="_DEM-WP (C) Power Cost 2006GRC Order_04 07E Wild Horse Wind Expansion (C) (2) 2" xfId="972"/>
    <cellStyle name="_DEM-WP (C) Power Cost 2006GRC Order_04 07E Wild Horse Wind Expansion (C) (2) 2 2" xfId="5905"/>
    <cellStyle name="_DEM-WP (C) Power Cost 2006GRC Order_04 07E Wild Horse Wind Expansion (C) (2) 3" xfId="5906"/>
    <cellStyle name="_DEM-WP (C) Power Cost 2006GRC Order_04 07E Wild Horse Wind Expansion (C) (2)_Adj Bench DR 3 for Initial Briefs (Electric)" xfId="973"/>
    <cellStyle name="_DEM-WP (C) Power Cost 2006GRC Order_04 07E Wild Horse Wind Expansion (C) (2)_Adj Bench DR 3 for Initial Briefs (Electric) 2" xfId="974"/>
    <cellStyle name="_DEM-WP (C) Power Cost 2006GRC Order_04 07E Wild Horse Wind Expansion (C) (2)_Adj Bench DR 3 for Initial Briefs (Electric) 2 2" xfId="5907"/>
    <cellStyle name="_DEM-WP (C) Power Cost 2006GRC Order_04 07E Wild Horse Wind Expansion (C) (2)_Adj Bench DR 3 for Initial Briefs (Electric) 3" xfId="5908"/>
    <cellStyle name="_DEM-WP (C) Power Cost 2006GRC Order_04 07E Wild Horse Wind Expansion (C) (2)_Electric Rev Req Model (2009 GRC) " xfId="975"/>
    <cellStyle name="_DEM-WP (C) Power Cost 2006GRC Order_04 07E Wild Horse Wind Expansion (C) (2)_Electric Rev Req Model (2009 GRC)  2" xfId="976"/>
    <cellStyle name="_DEM-WP (C) Power Cost 2006GRC Order_04 07E Wild Horse Wind Expansion (C) (2)_Electric Rev Req Model (2009 GRC)  2 2" xfId="5909"/>
    <cellStyle name="_DEM-WP (C) Power Cost 2006GRC Order_04 07E Wild Horse Wind Expansion (C) (2)_Electric Rev Req Model (2009 GRC)  3" xfId="5910"/>
    <cellStyle name="_DEM-WP (C) Power Cost 2006GRC Order_04 07E Wild Horse Wind Expansion (C) (2)_Electric Rev Req Model (2009 GRC) Rebuttal" xfId="977"/>
    <cellStyle name="_DEM-WP (C) Power Cost 2006GRC Order_04 07E Wild Horse Wind Expansion (C) (2)_Electric Rev Req Model (2009 GRC) Rebuttal 2" xfId="3815"/>
    <cellStyle name="_DEM-WP (C) Power Cost 2006GRC Order_04 07E Wild Horse Wind Expansion (C) (2)_Electric Rev Req Model (2009 GRC) Rebuttal 2 2" xfId="5911"/>
    <cellStyle name="_DEM-WP (C) Power Cost 2006GRC Order_04 07E Wild Horse Wind Expansion (C) (2)_Electric Rev Req Model (2009 GRC) Rebuttal 3" xfId="5912"/>
    <cellStyle name="_DEM-WP (C) Power Cost 2006GRC Order_04 07E Wild Horse Wind Expansion (C) (2)_Electric Rev Req Model (2009 GRC) Rebuttal REmoval of New  WH Solar AdjustMI" xfId="978"/>
    <cellStyle name="_DEM-WP (C) Power Cost 2006GRC Order_04 07E Wild Horse Wind Expansion (C) (2)_Electric Rev Req Model (2009 GRC) Rebuttal REmoval of New  WH Solar AdjustMI 2" xfId="979"/>
    <cellStyle name="_DEM-WP (C) Power Cost 2006GRC Order_04 07E Wild Horse Wind Expansion (C) (2)_Electric Rev Req Model (2009 GRC) Rebuttal REmoval of New  WH Solar AdjustMI 2 2" xfId="5913"/>
    <cellStyle name="_DEM-WP (C) Power Cost 2006GRC Order_04 07E Wild Horse Wind Expansion (C) (2)_Electric Rev Req Model (2009 GRC) Rebuttal REmoval of New  WH Solar AdjustMI 3" xfId="5914"/>
    <cellStyle name="_DEM-WP (C) Power Cost 2006GRC Order_04 07E Wild Horse Wind Expansion (C) (2)_Electric Rev Req Model (2009 GRC) Revised 01-18-2010" xfId="980"/>
    <cellStyle name="_DEM-WP (C) Power Cost 2006GRC Order_04 07E Wild Horse Wind Expansion (C) (2)_Electric Rev Req Model (2009 GRC) Revised 01-18-2010 2" xfId="981"/>
    <cellStyle name="_DEM-WP (C) Power Cost 2006GRC Order_04 07E Wild Horse Wind Expansion (C) (2)_Electric Rev Req Model (2009 GRC) Revised 01-18-2010 2 2" xfId="5915"/>
    <cellStyle name="_DEM-WP (C) Power Cost 2006GRC Order_04 07E Wild Horse Wind Expansion (C) (2)_Electric Rev Req Model (2009 GRC) Revised 01-18-2010 3" xfId="5916"/>
    <cellStyle name="_DEM-WP (C) Power Cost 2006GRC Order_04 07E Wild Horse Wind Expansion (C) (2)_Final Order Electric EXHIBIT A-1" xfId="982"/>
    <cellStyle name="_DEM-WP (C) Power Cost 2006GRC Order_04 07E Wild Horse Wind Expansion (C) (2)_Final Order Electric EXHIBIT A-1 2" xfId="3816"/>
    <cellStyle name="_DEM-WP (C) Power Cost 2006GRC Order_04 07E Wild Horse Wind Expansion (C) (2)_Final Order Electric EXHIBIT A-1 2 2" xfId="5917"/>
    <cellStyle name="_DEM-WP (C) Power Cost 2006GRC Order_04 07E Wild Horse Wind Expansion (C) (2)_Final Order Electric EXHIBIT A-1 3" xfId="5918"/>
    <cellStyle name="_DEM-WP (C) Power Cost 2006GRC Order_04 07E Wild Horse Wind Expansion (C) (2)_TENASKA REGULATORY ASSET" xfId="983"/>
    <cellStyle name="_DEM-WP (C) Power Cost 2006GRC Order_04 07E Wild Horse Wind Expansion (C) (2)_TENASKA REGULATORY ASSET 2" xfId="3817"/>
    <cellStyle name="_DEM-WP (C) Power Cost 2006GRC Order_04 07E Wild Horse Wind Expansion (C) (2)_TENASKA REGULATORY ASSET 2 2" xfId="5919"/>
    <cellStyle name="_DEM-WP (C) Power Cost 2006GRC Order_04 07E Wild Horse Wind Expansion (C) (2)_TENASKA REGULATORY ASSET 3" xfId="5920"/>
    <cellStyle name="_DEM-WP (C) Power Cost 2006GRC Order_16.37E Wild Horse Expansion DeferralRevwrkingfile SF" xfId="984"/>
    <cellStyle name="_DEM-WP (C) Power Cost 2006GRC Order_16.37E Wild Horse Expansion DeferralRevwrkingfile SF 2" xfId="985"/>
    <cellStyle name="_DEM-WP (C) Power Cost 2006GRC Order_16.37E Wild Horse Expansion DeferralRevwrkingfile SF 2 2" xfId="5921"/>
    <cellStyle name="_DEM-WP (C) Power Cost 2006GRC Order_16.37E Wild Horse Expansion DeferralRevwrkingfile SF 3" xfId="5922"/>
    <cellStyle name="_DEM-WP (C) Power Cost 2006GRC Order_2009 GRC Compl Filing - Exhibit D" xfId="986"/>
    <cellStyle name="_DEM-WP (C) Power Cost 2006GRC Order_2009 GRC Compl Filing - Exhibit D 2" xfId="987"/>
    <cellStyle name="_DEM-WP (C) Power Cost 2006GRC Order_4 31 Regulatory Assets and Liabilities  7 06- Exhibit D" xfId="988"/>
    <cellStyle name="_DEM-WP (C) Power Cost 2006GRC Order_4 31 Regulatory Assets and Liabilities  7 06- Exhibit D 2" xfId="989"/>
    <cellStyle name="_DEM-WP (C) Power Cost 2006GRC Order_4 31 Regulatory Assets and Liabilities  7 06- Exhibit D 2 2" xfId="5923"/>
    <cellStyle name="_DEM-WP (C) Power Cost 2006GRC Order_4 31 Regulatory Assets and Liabilities  7 06- Exhibit D 3" xfId="5924"/>
    <cellStyle name="_DEM-WP (C) Power Cost 2006GRC Order_4 31 Regulatory Assets and Liabilities  7 06- Exhibit D_NIM Summary" xfId="990"/>
    <cellStyle name="_DEM-WP (C) Power Cost 2006GRC Order_4 31 Regulatory Assets and Liabilities  7 06- Exhibit D_NIM Summary 2" xfId="991"/>
    <cellStyle name="_DEM-WP (C) Power Cost 2006GRC Order_4 32 Regulatory Assets and Liabilities  7 06- Exhibit D" xfId="992"/>
    <cellStyle name="_DEM-WP (C) Power Cost 2006GRC Order_4 32 Regulatory Assets and Liabilities  7 06- Exhibit D 2" xfId="993"/>
    <cellStyle name="_DEM-WP (C) Power Cost 2006GRC Order_4 32 Regulatory Assets and Liabilities  7 06- Exhibit D 2 2" xfId="5925"/>
    <cellStyle name="_DEM-WP (C) Power Cost 2006GRC Order_4 32 Regulatory Assets and Liabilities  7 06- Exhibit D 3" xfId="5926"/>
    <cellStyle name="_DEM-WP (C) Power Cost 2006GRC Order_4 32 Regulatory Assets and Liabilities  7 06- Exhibit D_NIM Summary" xfId="994"/>
    <cellStyle name="_DEM-WP (C) Power Cost 2006GRC Order_4 32 Regulatory Assets and Liabilities  7 06- Exhibit D_NIM Summary 2" xfId="995"/>
    <cellStyle name="_DEM-WP (C) Power Cost 2006GRC Order_AURORA Total New" xfId="996"/>
    <cellStyle name="_DEM-WP (C) Power Cost 2006GRC Order_AURORA Total New 2" xfId="997"/>
    <cellStyle name="_DEM-WP (C) Power Cost 2006GRC Order_Book2" xfId="998"/>
    <cellStyle name="_DEM-WP (C) Power Cost 2006GRC Order_Book2 2" xfId="999"/>
    <cellStyle name="_DEM-WP (C) Power Cost 2006GRC Order_Book2 2 2" xfId="5927"/>
    <cellStyle name="_DEM-WP (C) Power Cost 2006GRC Order_Book2 3" xfId="5928"/>
    <cellStyle name="_DEM-WP (C) Power Cost 2006GRC Order_Book2_Adj Bench DR 3 for Initial Briefs (Electric)" xfId="1000"/>
    <cellStyle name="_DEM-WP (C) Power Cost 2006GRC Order_Book2_Adj Bench DR 3 for Initial Briefs (Electric) 2" xfId="1001"/>
    <cellStyle name="_DEM-WP (C) Power Cost 2006GRC Order_Book2_Adj Bench DR 3 for Initial Briefs (Electric) 2 2" xfId="5929"/>
    <cellStyle name="_DEM-WP (C) Power Cost 2006GRC Order_Book2_Adj Bench DR 3 for Initial Briefs (Electric) 3" xfId="5930"/>
    <cellStyle name="_DEM-WP (C) Power Cost 2006GRC Order_Book2_Electric Rev Req Model (2009 GRC) Rebuttal" xfId="1002"/>
    <cellStyle name="_DEM-WP (C) Power Cost 2006GRC Order_Book2_Electric Rev Req Model (2009 GRC) Rebuttal 2" xfId="3818"/>
    <cellStyle name="_DEM-WP (C) Power Cost 2006GRC Order_Book2_Electric Rev Req Model (2009 GRC) Rebuttal 2 2" xfId="5931"/>
    <cellStyle name="_DEM-WP (C) Power Cost 2006GRC Order_Book2_Electric Rev Req Model (2009 GRC) Rebuttal 3" xfId="5932"/>
    <cellStyle name="_DEM-WP (C) Power Cost 2006GRC Order_Book2_Electric Rev Req Model (2009 GRC) Rebuttal REmoval of New  WH Solar AdjustMI" xfId="1003"/>
    <cellStyle name="_DEM-WP (C) Power Cost 2006GRC Order_Book2_Electric Rev Req Model (2009 GRC) Rebuttal REmoval of New  WH Solar AdjustMI 2" xfId="1004"/>
    <cellStyle name="_DEM-WP (C) Power Cost 2006GRC Order_Book2_Electric Rev Req Model (2009 GRC) Rebuttal REmoval of New  WH Solar AdjustMI 2 2" xfId="5933"/>
    <cellStyle name="_DEM-WP (C) Power Cost 2006GRC Order_Book2_Electric Rev Req Model (2009 GRC) Rebuttal REmoval of New  WH Solar AdjustMI 3" xfId="5934"/>
    <cellStyle name="_DEM-WP (C) Power Cost 2006GRC Order_Book2_Electric Rev Req Model (2009 GRC) Revised 01-18-2010" xfId="1005"/>
    <cellStyle name="_DEM-WP (C) Power Cost 2006GRC Order_Book2_Electric Rev Req Model (2009 GRC) Revised 01-18-2010 2" xfId="1006"/>
    <cellStyle name="_DEM-WP (C) Power Cost 2006GRC Order_Book2_Electric Rev Req Model (2009 GRC) Revised 01-18-2010 2 2" xfId="5935"/>
    <cellStyle name="_DEM-WP (C) Power Cost 2006GRC Order_Book2_Electric Rev Req Model (2009 GRC) Revised 01-18-2010 3" xfId="5936"/>
    <cellStyle name="_DEM-WP (C) Power Cost 2006GRC Order_Book2_Final Order Electric EXHIBIT A-1" xfId="1007"/>
    <cellStyle name="_DEM-WP (C) Power Cost 2006GRC Order_Book2_Final Order Electric EXHIBIT A-1 2" xfId="3819"/>
    <cellStyle name="_DEM-WP (C) Power Cost 2006GRC Order_Book2_Final Order Electric EXHIBIT A-1 2 2" xfId="5937"/>
    <cellStyle name="_DEM-WP (C) Power Cost 2006GRC Order_Book2_Final Order Electric EXHIBIT A-1 3" xfId="5938"/>
    <cellStyle name="_DEM-WP (C) Power Cost 2006GRC Order_Book4" xfId="1008"/>
    <cellStyle name="_DEM-WP (C) Power Cost 2006GRC Order_Book4 2" xfId="1009"/>
    <cellStyle name="_DEM-WP (C) Power Cost 2006GRC Order_Book4 2 2" xfId="5939"/>
    <cellStyle name="_DEM-WP (C) Power Cost 2006GRC Order_Book4 3" xfId="5940"/>
    <cellStyle name="_DEM-WP (C) Power Cost 2006GRC Order_Book9" xfId="1010"/>
    <cellStyle name="_DEM-WP (C) Power Cost 2006GRC Order_Book9 2" xfId="1011"/>
    <cellStyle name="_DEM-WP (C) Power Cost 2006GRC Order_Book9 2 2" xfId="5941"/>
    <cellStyle name="_DEM-WP (C) Power Cost 2006GRC Order_Book9 3" xfId="5942"/>
    <cellStyle name="_DEM-WP (C) Power Cost 2006GRC Order_Electric COS Inputs" xfId="3820"/>
    <cellStyle name="_DEM-WP (C) Power Cost 2006GRC Order_Electric COS Inputs 2" xfId="3821"/>
    <cellStyle name="_DEM-WP (C) Power Cost 2006GRC Order_Electric COS Inputs 2 2" xfId="3822"/>
    <cellStyle name="_DEM-WP (C) Power Cost 2006GRC Order_Electric COS Inputs 2 2 2" xfId="5943"/>
    <cellStyle name="_DEM-WP (C) Power Cost 2006GRC Order_Electric COS Inputs 2 3" xfId="3823"/>
    <cellStyle name="_DEM-WP (C) Power Cost 2006GRC Order_Electric COS Inputs 2 3 2" xfId="5944"/>
    <cellStyle name="_DEM-WP (C) Power Cost 2006GRC Order_Electric COS Inputs 2 4" xfId="3824"/>
    <cellStyle name="_DEM-WP (C) Power Cost 2006GRC Order_Electric COS Inputs 2 4 2" xfId="5945"/>
    <cellStyle name="_DEM-WP (C) Power Cost 2006GRC Order_Electric COS Inputs 3" xfId="3825"/>
    <cellStyle name="_DEM-WP (C) Power Cost 2006GRC Order_Electric COS Inputs 3 2" xfId="5946"/>
    <cellStyle name="_DEM-WP (C) Power Cost 2006GRC Order_Electric COS Inputs 4" xfId="3826"/>
    <cellStyle name="_DEM-WP (C) Power Cost 2006GRC Order_Electric COS Inputs 4 2" xfId="5947"/>
    <cellStyle name="_DEM-WP (C) Power Cost 2006GRC Order_Electric COS Inputs 5" xfId="5948"/>
    <cellStyle name="_DEM-WP (C) Power Cost 2006GRC Order_NIM Summary" xfId="1012"/>
    <cellStyle name="_DEM-WP (C) Power Cost 2006GRC Order_NIM Summary 09GRC" xfId="1013"/>
    <cellStyle name="_DEM-WP (C) Power Cost 2006GRC Order_NIM Summary 09GRC 2" xfId="1014"/>
    <cellStyle name="_DEM-WP (C) Power Cost 2006GRC Order_NIM Summary 2" xfId="1015"/>
    <cellStyle name="_DEM-WP (C) Power Cost 2006GRC Order_NIM Summary 3" xfId="1016"/>
    <cellStyle name="_DEM-WP (C) Power Cost 2006GRC Order_NIM Summary 4" xfId="3339"/>
    <cellStyle name="_DEM-WP (C) Power Cost 2006GRC Order_NIM Summary 5" xfId="3340"/>
    <cellStyle name="_DEM-WP (C) Power Cost 2006GRC Order_NIM Summary 6" xfId="3341"/>
    <cellStyle name="_DEM-WP (C) Power Cost 2006GRC Order_NIM Summary 7" xfId="3342"/>
    <cellStyle name="_DEM-WP (C) Power Cost 2006GRC Order_NIM Summary 8" xfId="3343"/>
    <cellStyle name="_DEM-WP (C) Power Cost 2006GRC Order_NIM Summary 9" xfId="3344"/>
    <cellStyle name="_DEM-WP (C) Power Cost 2006GRC Order_PCA 9 -  Exhibit D April 2010 (3)" xfId="1017"/>
    <cellStyle name="_DEM-WP (C) Power Cost 2006GRC Order_PCA 9 -  Exhibit D April 2010 (3) 2" xfId="1018"/>
    <cellStyle name="_DEM-WP (C) Power Cost 2006GRC Order_Power Costs - Comparison bx Rbtl-Staff-Jt-PC" xfId="1019"/>
    <cellStyle name="_DEM-WP (C) Power Cost 2006GRC Order_Power Costs - Comparison bx Rbtl-Staff-Jt-PC 2" xfId="1020"/>
    <cellStyle name="_DEM-WP (C) Power Cost 2006GRC Order_Power Costs - Comparison bx Rbtl-Staff-Jt-PC 2 2" xfId="5949"/>
    <cellStyle name="_DEM-WP (C) Power Cost 2006GRC Order_Power Costs - Comparison bx Rbtl-Staff-Jt-PC 3" xfId="5950"/>
    <cellStyle name="_DEM-WP (C) Power Cost 2006GRC Order_Power Costs - Comparison bx Rbtl-Staff-Jt-PC_Adj Bench DR 3 for Initial Briefs (Electric)" xfId="1021"/>
    <cellStyle name="_DEM-WP (C) Power Cost 2006GRC Order_Power Costs - Comparison bx Rbtl-Staff-Jt-PC_Adj Bench DR 3 for Initial Briefs (Electric) 2" xfId="1022"/>
    <cellStyle name="_DEM-WP (C) Power Cost 2006GRC Order_Power Costs - Comparison bx Rbtl-Staff-Jt-PC_Adj Bench DR 3 for Initial Briefs (Electric) 2 2" xfId="5951"/>
    <cellStyle name="_DEM-WP (C) Power Cost 2006GRC Order_Power Costs - Comparison bx Rbtl-Staff-Jt-PC_Adj Bench DR 3 for Initial Briefs (Electric) 3" xfId="5952"/>
    <cellStyle name="_DEM-WP (C) Power Cost 2006GRC Order_Power Costs - Comparison bx Rbtl-Staff-Jt-PC_Electric Rev Req Model (2009 GRC) Rebuttal" xfId="1023"/>
    <cellStyle name="_DEM-WP (C) Power Cost 2006GRC Order_Power Costs - Comparison bx Rbtl-Staff-Jt-PC_Electric Rev Req Model (2009 GRC) Rebuttal 2" xfId="3827"/>
    <cellStyle name="_DEM-WP (C) Power Cost 2006GRC Order_Power Costs - Comparison bx Rbtl-Staff-Jt-PC_Electric Rev Req Model (2009 GRC) Rebuttal 2 2" xfId="5953"/>
    <cellStyle name="_DEM-WP (C) Power Cost 2006GRC Order_Power Costs - Comparison bx Rbtl-Staff-Jt-PC_Electric Rev Req Model (2009 GRC) Rebuttal 3" xfId="5954"/>
    <cellStyle name="_DEM-WP (C) Power Cost 2006GRC Order_Power Costs - Comparison bx Rbtl-Staff-Jt-PC_Electric Rev Req Model (2009 GRC) Rebuttal REmoval of New  WH Solar AdjustMI" xfId="1024"/>
    <cellStyle name="_DEM-WP (C) Power Cost 2006GRC Order_Power Costs - Comparison bx Rbtl-Staff-Jt-PC_Electric Rev Req Model (2009 GRC) Rebuttal REmoval of New  WH Solar AdjustMI 2" xfId="1025"/>
    <cellStyle name="_DEM-WP (C) Power Cost 2006GRC Order_Power Costs - Comparison bx Rbtl-Staff-Jt-PC_Electric Rev Req Model (2009 GRC) Rebuttal REmoval of New  WH Solar AdjustMI 2 2" xfId="5955"/>
    <cellStyle name="_DEM-WP (C) Power Cost 2006GRC Order_Power Costs - Comparison bx Rbtl-Staff-Jt-PC_Electric Rev Req Model (2009 GRC) Rebuttal REmoval of New  WH Solar AdjustMI 3" xfId="5956"/>
    <cellStyle name="_DEM-WP (C) Power Cost 2006GRC Order_Power Costs - Comparison bx Rbtl-Staff-Jt-PC_Electric Rev Req Model (2009 GRC) Revised 01-18-2010" xfId="1026"/>
    <cellStyle name="_DEM-WP (C) Power Cost 2006GRC Order_Power Costs - Comparison bx Rbtl-Staff-Jt-PC_Electric Rev Req Model (2009 GRC) Revised 01-18-2010 2" xfId="1027"/>
    <cellStyle name="_DEM-WP (C) Power Cost 2006GRC Order_Power Costs - Comparison bx Rbtl-Staff-Jt-PC_Electric Rev Req Model (2009 GRC) Revised 01-18-2010 2 2" xfId="5957"/>
    <cellStyle name="_DEM-WP (C) Power Cost 2006GRC Order_Power Costs - Comparison bx Rbtl-Staff-Jt-PC_Electric Rev Req Model (2009 GRC) Revised 01-18-2010 3" xfId="5958"/>
    <cellStyle name="_DEM-WP (C) Power Cost 2006GRC Order_Power Costs - Comparison bx Rbtl-Staff-Jt-PC_Final Order Electric EXHIBIT A-1" xfId="1028"/>
    <cellStyle name="_DEM-WP (C) Power Cost 2006GRC Order_Power Costs - Comparison bx Rbtl-Staff-Jt-PC_Final Order Electric EXHIBIT A-1 2" xfId="3828"/>
    <cellStyle name="_DEM-WP (C) Power Cost 2006GRC Order_Power Costs - Comparison bx Rbtl-Staff-Jt-PC_Final Order Electric EXHIBIT A-1 2 2" xfId="5959"/>
    <cellStyle name="_DEM-WP (C) Power Cost 2006GRC Order_Power Costs - Comparison bx Rbtl-Staff-Jt-PC_Final Order Electric EXHIBIT A-1 3" xfId="5960"/>
    <cellStyle name="_DEM-WP (C) Power Cost 2006GRC Order_Production Adj 4.37" xfId="3829"/>
    <cellStyle name="_DEM-WP (C) Power Cost 2006GRC Order_Production Adj 4.37 2" xfId="3830"/>
    <cellStyle name="_DEM-WP (C) Power Cost 2006GRC Order_Production Adj 4.37 2 2" xfId="5961"/>
    <cellStyle name="_DEM-WP (C) Power Cost 2006GRC Order_Production Adj 4.37 3" xfId="5962"/>
    <cellStyle name="_DEM-WP (C) Power Cost 2006GRC Order_Purchased Power Adj 4.03" xfId="3831"/>
    <cellStyle name="_DEM-WP (C) Power Cost 2006GRC Order_Purchased Power Adj 4.03 2" xfId="3832"/>
    <cellStyle name="_DEM-WP (C) Power Cost 2006GRC Order_Purchased Power Adj 4.03 2 2" xfId="5963"/>
    <cellStyle name="_DEM-WP (C) Power Cost 2006GRC Order_Purchased Power Adj 4.03 3" xfId="5964"/>
    <cellStyle name="_DEM-WP (C) Power Cost 2006GRC Order_Rebuttal Power Costs" xfId="1029"/>
    <cellStyle name="_DEM-WP (C) Power Cost 2006GRC Order_Rebuttal Power Costs 2" xfId="1030"/>
    <cellStyle name="_DEM-WP (C) Power Cost 2006GRC Order_Rebuttal Power Costs 2 2" xfId="5965"/>
    <cellStyle name="_DEM-WP (C) Power Cost 2006GRC Order_Rebuttal Power Costs 3" xfId="5966"/>
    <cellStyle name="_DEM-WP (C) Power Cost 2006GRC Order_Rebuttal Power Costs_Adj Bench DR 3 for Initial Briefs (Electric)" xfId="1031"/>
    <cellStyle name="_DEM-WP (C) Power Cost 2006GRC Order_Rebuttal Power Costs_Adj Bench DR 3 for Initial Briefs (Electric) 2" xfId="1032"/>
    <cellStyle name="_DEM-WP (C) Power Cost 2006GRC Order_Rebuttal Power Costs_Adj Bench DR 3 for Initial Briefs (Electric) 2 2" xfId="5967"/>
    <cellStyle name="_DEM-WP (C) Power Cost 2006GRC Order_Rebuttal Power Costs_Adj Bench DR 3 for Initial Briefs (Electric) 3" xfId="5968"/>
    <cellStyle name="_DEM-WP (C) Power Cost 2006GRC Order_Rebuttal Power Costs_Electric Rev Req Model (2009 GRC) Rebuttal" xfId="1033"/>
    <cellStyle name="_DEM-WP (C) Power Cost 2006GRC Order_Rebuttal Power Costs_Electric Rev Req Model (2009 GRC) Rebuttal 2" xfId="3833"/>
    <cellStyle name="_DEM-WP (C) Power Cost 2006GRC Order_Rebuttal Power Costs_Electric Rev Req Model (2009 GRC) Rebuttal 2 2" xfId="5969"/>
    <cellStyle name="_DEM-WP (C) Power Cost 2006GRC Order_Rebuttal Power Costs_Electric Rev Req Model (2009 GRC) Rebuttal 3" xfId="5970"/>
    <cellStyle name="_DEM-WP (C) Power Cost 2006GRC Order_Rebuttal Power Costs_Electric Rev Req Model (2009 GRC) Rebuttal REmoval of New  WH Solar AdjustMI" xfId="1034"/>
    <cellStyle name="_DEM-WP (C) Power Cost 2006GRC Order_Rebuttal Power Costs_Electric Rev Req Model (2009 GRC) Rebuttal REmoval of New  WH Solar AdjustMI 2" xfId="1035"/>
    <cellStyle name="_DEM-WP (C) Power Cost 2006GRC Order_Rebuttal Power Costs_Electric Rev Req Model (2009 GRC) Rebuttal REmoval of New  WH Solar AdjustMI 2 2" xfId="5971"/>
    <cellStyle name="_DEM-WP (C) Power Cost 2006GRC Order_Rebuttal Power Costs_Electric Rev Req Model (2009 GRC) Rebuttal REmoval of New  WH Solar AdjustMI 3" xfId="5972"/>
    <cellStyle name="_DEM-WP (C) Power Cost 2006GRC Order_Rebuttal Power Costs_Electric Rev Req Model (2009 GRC) Revised 01-18-2010" xfId="1036"/>
    <cellStyle name="_DEM-WP (C) Power Cost 2006GRC Order_Rebuttal Power Costs_Electric Rev Req Model (2009 GRC) Revised 01-18-2010 2" xfId="1037"/>
    <cellStyle name="_DEM-WP (C) Power Cost 2006GRC Order_Rebuttal Power Costs_Electric Rev Req Model (2009 GRC) Revised 01-18-2010 2 2" xfId="5973"/>
    <cellStyle name="_DEM-WP (C) Power Cost 2006GRC Order_Rebuttal Power Costs_Electric Rev Req Model (2009 GRC) Revised 01-18-2010 3" xfId="5974"/>
    <cellStyle name="_DEM-WP (C) Power Cost 2006GRC Order_Rebuttal Power Costs_Final Order Electric EXHIBIT A-1" xfId="1038"/>
    <cellStyle name="_DEM-WP (C) Power Cost 2006GRC Order_Rebuttal Power Costs_Final Order Electric EXHIBIT A-1 2" xfId="3834"/>
    <cellStyle name="_DEM-WP (C) Power Cost 2006GRC Order_Rebuttal Power Costs_Final Order Electric EXHIBIT A-1 2 2" xfId="5975"/>
    <cellStyle name="_DEM-WP (C) Power Cost 2006GRC Order_Rebuttal Power Costs_Final Order Electric EXHIBIT A-1 3" xfId="5976"/>
    <cellStyle name="_DEM-WP (C) Power Cost 2006GRC Order_ROR 5.02" xfId="3835"/>
    <cellStyle name="_DEM-WP (C) Power Cost 2006GRC Order_ROR 5.02 2" xfId="3836"/>
    <cellStyle name="_DEM-WP (C) Power Cost 2006GRC Order_ROR 5.02 2 2" xfId="5977"/>
    <cellStyle name="_DEM-WP (C) Power Cost 2006GRC Order_ROR 5.02 3" xfId="5978"/>
    <cellStyle name="_DEM-WP (C) Power Cost 2006GRC Order_Wind Integration 10GRC" xfId="1039"/>
    <cellStyle name="_DEM-WP (C) Power Cost 2006GRC Order_Wind Integration 10GRC 2" xfId="1040"/>
    <cellStyle name="_DEM-WP Revised (HC) Wild Horse 2006GRC" xfId="1041"/>
    <cellStyle name="_DEM-WP Revised (HC) Wild Horse 2006GRC 2" xfId="1042"/>
    <cellStyle name="_DEM-WP Revised (HC) Wild Horse 2006GRC 2 2" xfId="5979"/>
    <cellStyle name="_DEM-WP Revised (HC) Wild Horse 2006GRC 3" xfId="5980"/>
    <cellStyle name="_DEM-WP Revised (HC) Wild Horse 2006GRC_16.37E Wild Horse Expansion DeferralRevwrkingfile SF" xfId="1043"/>
    <cellStyle name="_DEM-WP Revised (HC) Wild Horse 2006GRC_16.37E Wild Horse Expansion DeferralRevwrkingfile SF 2" xfId="1044"/>
    <cellStyle name="_DEM-WP Revised (HC) Wild Horse 2006GRC_16.37E Wild Horse Expansion DeferralRevwrkingfile SF 2 2" xfId="5981"/>
    <cellStyle name="_DEM-WP Revised (HC) Wild Horse 2006GRC_16.37E Wild Horse Expansion DeferralRevwrkingfile SF 3" xfId="5982"/>
    <cellStyle name="_DEM-WP Revised (HC) Wild Horse 2006GRC_2009 GRC Compl Filing - Exhibit D" xfId="1045"/>
    <cellStyle name="_DEM-WP Revised (HC) Wild Horse 2006GRC_2009 GRC Compl Filing - Exhibit D 2" xfId="1046"/>
    <cellStyle name="_DEM-WP Revised (HC) Wild Horse 2006GRC_Adj Bench DR 3 for Initial Briefs (Electric)" xfId="1047"/>
    <cellStyle name="_DEM-WP Revised (HC) Wild Horse 2006GRC_Adj Bench DR 3 for Initial Briefs (Electric) 2" xfId="1048"/>
    <cellStyle name="_DEM-WP Revised (HC) Wild Horse 2006GRC_Adj Bench DR 3 for Initial Briefs (Electric) 2 2" xfId="5983"/>
    <cellStyle name="_DEM-WP Revised (HC) Wild Horse 2006GRC_Adj Bench DR 3 for Initial Briefs (Electric) 3" xfId="5984"/>
    <cellStyle name="_DEM-WP Revised (HC) Wild Horse 2006GRC_Book2" xfId="1049"/>
    <cellStyle name="_DEM-WP Revised (HC) Wild Horse 2006GRC_Book2 2" xfId="1050"/>
    <cellStyle name="_DEM-WP Revised (HC) Wild Horse 2006GRC_Book2 2 2" xfId="5985"/>
    <cellStyle name="_DEM-WP Revised (HC) Wild Horse 2006GRC_Book2 3" xfId="5986"/>
    <cellStyle name="_DEM-WP Revised (HC) Wild Horse 2006GRC_Book4" xfId="1051"/>
    <cellStyle name="_DEM-WP Revised (HC) Wild Horse 2006GRC_Book4 2" xfId="1052"/>
    <cellStyle name="_DEM-WP Revised (HC) Wild Horse 2006GRC_Book4 2 2" xfId="5987"/>
    <cellStyle name="_DEM-WP Revised (HC) Wild Horse 2006GRC_Book4 3" xfId="5988"/>
    <cellStyle name="_DEM-WP Revised (HC) Wild Horse 2006GRC_Electric Rev Req Model (2009 GRC) " xfId="1053"/>
    <cellStyle name="_DEM-WP Revised (HC) Wild Horse 2006GRC_Electric Rev Req Model (2009 GRC)  2" xfId="1054"/>
    <cellStyle name="_DEM-WP Revised (HC) Wild Horse 2006GRC_Electric Rev Req Model (2009 GRC)  2 2" xfId="5989"/>
    <cellStyle name="_DEM-WP Revised (HC) Wild Horse 2006GRC_Electric Rev Req Model (2009 GRC)  3" xfId="5990"/>
    <cellStyle name="_DEM-WP Revised (HC) Wild Horse 2006GRC_Electric Rev Req Model (2009 GRC) Rebuttal" xfId="1055"/>
    <cellStyle name="_DEM-WP Revised (HC) Wild Horse 2006GRC_Electric Rev Req Model (2009 GRC) Rebuttal 2" xfId="3837"/>
    <cellStyle name="_DEM-WP Revised (HC) Wild Horse 2006GRC_Electric Rev Req Model (2009 GRC) Rebuttal 2 2" xfId="5991"/>
    <cellStyle name="_DEM-WP Revised (HC) Wild Horse 2006GRC_Electric Rev Req Model (2009 GRC) Rebuttal 3" xfId="5992"/>
    <cellStyle name="_DEM-WP Revised (HC) Wild Horse 2006GRC_Electric Rev Req Model (2009 GRC) Rebuttal REmoval of New  WH Solar AdjustMI" xfId="1056"/>
    <cellStyle name="_DEM-WP Revised (HC) Wild Horse 2006GRC_Electric Rev Req Model (2009 GRC) Rebuttal REmoval of New  WH Solar AdjustMI 2" xfId="1057"/>
    <cellStyle name="_DEM-WP Revised (HC) Wild Horse 2006GRC_Electric Rev Req Model (2009 GRC) Rebuttal REmoval of New  WH Solar AdjustMI 2 2" xfId="5993"/>
    <cellStyle name="_DEM-WP Revised (HC) Wild Horse 2006GRC_Electric Rev Req Model (2009 GRC) Rebuttal REmoval of New  WH Solar AdjustMI 3" xfId="5994"/>
    <cellStyle name="_DEM-WP Revised (HC) Wild Horse 2006GRC_Electric Rev Req Model (2009 GRC) Revised 01-18-2010" xfId="1058"/>
    <cellStyle name="_DEM-WP Revised (HC) Wild Horse 2006GRC_Electric Rev Req Model (2009 GRC) Revised 01-18-2010 2" xfId="1059"/>
    <cellStyle name="_DEM-WP Revised (HC) Wild Horse 2006GRC_Electric Rev Req Model (2009 GRC) Revised 01-18-2010 2 2" xfId="5995"/>
    <cellStyle name="_DEM-WP Revised (HC) Wild Horse 2006GRC_Electric Rev Req Model (2009 GRC) Revised 01-18-2010 3" xfId="5996"/>
    <cellStyle name="_DEM-WP Revised (HC) Wild Horse 2006GRC_Final Order Electric EXHIBIT A-1" xfId="1060"/>
    <cellStyle name="_DEM-WP Revised (HC) Wild Horse 2006GRC_Final Order Electric EXHIBIT A-1 2" xfId="3838"/>
    <cellStyle name="_DEM-WP Revised (HC) Wild Horse 2006GRC_Final Order Electric EXHIBIT A-1 2 2" xfId="5997"/>
    <cellStyle name="_DEM-WP Revised (HC) Wild Horse 2006GRC_Final Order Electric EXHIBIT A-1 3" xfId="5998"/>
    <cellStyle name="_DEM-WP Revised (HC) Wild Horse 2006GRC_NIM Summary" xfId="1061"/>
    <cellStyle name="_DEM-WP Revised (HC) Wild Horse 2006GRC_NIM Summary 2" xfId="1062"/>
    <cellStyle name="_DEM-WP Revised (HC) Wild Horse 2006GRC_Power Costs - Comparison bx Rbtl-Staff-Jt-PC" xfId="1063"/>
    <cellStyle name="_DEM-WP Revised (HC) Wild Horse 2006GRC_Power Costs - Comparison bx Rbtl-Staff-Jt-PC 2" xfId="1064"/>
    <cellStyle name="_DEM-WP Revised (HC) Wild Horse 2006GRC_Power Costs - Comparison bx Rbtl-Staff-Jt-PC 2 2" xfId="5999"/>
    <cellStyle name="_DEM-WP Revised (HC) Wild Horse 2006GRC_Power Costs - Comparison bx Rbtl-Staff-Jt-PC 3" xfId="6000"/>
    <cellStyle name="_DEM-WP Revised (HC) Wild Horse 2006GRC_Rebuttal Power Costs" xfId="1065"/>
    <cellStyle name="_DEM-WP Revised (HC) Wild Horse 2006GRC_Rebuttal Power Costs 2" xfId="1066"/>
    <cellStyle name="_DEM-WP Revised (HC) Wild Horse 2006GRC_Rebuttal Power Costs 2 2" xfId="6001"/>
    <cellStyle name="_DEM-WP Revised (HC) Wild Horse 2006GRC_Rebuttal Power Costs 3" xfId="6002"/>
    <cellStyle name="_DEM-WP Revised (HC) Wild Horse 2006GRC_TENASKA REGULATORY ASSET" xfId="1067"/>
    <cellStyle name="_DEM-WP Revised (HC) Wild Horse 2006GRC_TENASKA REGULATORY ASSET 2" xfId="3839"/>
    <cellStyle name="_DEM-WP Revised (HC) Wild Horse 2006GRC_TENASKA REGULATORY ASSET 2 2" xfId="6003"/>
    <cellStyle name="_DEM-WP Revised (HC) Wild Horse 2006GRC_TENASKA REGULATORY ASSET 3" xfId="6004"/>
    <cellStyle name="_DEM-WP(C) Colstrip FOR" xfId="1068"/>
    <cellStyle name="_DEM-WP(C) Colstrip FOR 2" xfId="1069"/>
    <cellStyle name="_DEM-WP(C) Colstrip FOR 2 2" xfId="6005"/>
    <cellStyle name="_DEM-WP(C) Colstrip FOR 3" xfId="6006"/>
    <cellStyle name="_DEM-WP(C) Colstrip FOR_(C) WHE Proforma with ITC cash grant 10 Yr Amort_for rebuttal_120709" xfId="1070"/>
    <cellStyle name="_DEM-WP(C) Colstrip FOR_(C) WHE Proforma with ITC cash grant 10 Yr Amort_for rebuttal_120709 2" xfId="1071"/>
    <cellStyle name="_DEM-WP(C) Colstrip FOR_(C) WHE Proforma with ITC cash grant 10 Yr Amort_for rebuttal_120709 2 2" xfId="6007"/>
    <cellStyle name="_DEM-WP(C) Colstrip FOR_(C) WHE Proforma with ITC cash grant 10 Yr Amort_for rebuttal_120709 3" xfId="6008"/>
    <cellStyle name="_DEM-WP(C) Colstrip FOR_16.07E Wild Horse Wind Expansionwrkingfile" xfId="1072"/>
    <cellStyle name="_DEM-WP(C) Colstrip FOR_16.07E Wild Horse Wind Expansionwrkingfile 2" xfId="1073"/>
    <cellStyle name="_DEM-WP(C) Colstrip FOR_16.07E Wild Horse Wind Expansionwrkingfile 2 2" xfId="6009"/>
    <cellStyle name="_DEM-WP(C) Colstrip FOR_16.07E Wild Horse Wind Expansionwrkingfile 3" xfId="6010"/>
    <cellStyle name="_DEM-WP(C) Colstrip FOR_16.07E Wild Horse Wind Expansionwrkingfile SF" xfId="1074"/>
    <cellStyle name="_DEM-WP(C) Colstrip FOR_16.07E Wild Horse Wind Expansionwrkingfile SF 2" xfId="1075"/>
    <cellStyle name="_DEM-WP(C) Colstrip FOR_16.07E Wild Horse Wind Expansionwrkingfile SF 2 2" xfId="6011"/>
    <cellStyle name="_DEM-WP(C) Colstrip FOR_16.07E Wild Horse Wind Expansionwrkingfile SF 3" xfId="6012"/>
    <cellStyle name="_DEM-WP(C) Colstrip FOR_16.37E Wild Horse Expansion DeferralRevwrkingfile SF" xfId="1076"/>
    <cellStyle name="_DEM-WP(C) Colstrip FOR_16.37E Wild Horse Expansion DeferralRevwrkingfile SF 2" xfId="1077"/>
    <cellStyle name="_DEM-WP(C) Colstrip FOR_16.37E Wild Horse Expansion DeferralRevwrkingfile SF 2 2" xfId="6013"/>
    <cellStyle name="_DEM-WP(C) Colstrip FOR_16.37E Wild Horse Expansion DeferralRevwrkingfile SF 3" xfId="6014"/>
    <cellStyle name="_DEM-WP(C) Colstrip FOR_Adj Bench DR 3 for Initial Briefs (Electric)" xfId="1078"/>
    <cellStyle name="_DEM-WP(C) Colstrip FOR_Adj Bench DR 3 for Initial Briefs (Electric) 2" xfId="1079"/>
    <cellStyle name="_DEM-WP(C) Colstrip FOR_Adj Bench DR 3 for Initial Briefs (Electric) 2 2" xfId="6015"/>
    <cellStyle name="_DEM-WP(C) Colstrip FOR_Adj Bench DR 3 for Initial Briefs (Electric) 3" xfId="6016"/>
    <cellStyle name="_DEM-WP(C) Colstrip FOR_Book2" xfId="1080"/>
    <cellStyle name="_DEM-WP(C) Colstrip FOR_Book2 2" xfId="1081"/>
    <cellStyle name="_DEM-WP(C) Colstrip FOR_Book2 2 2" xfId="6017"/>
    <cellStyle name="_DEM-WP(C) Colstrip FOR_Book2 3" xfId="6018"/>
    <cellStyle name="_DEM-WP(C) Colstrip FOR_Book2_Adj Bench DR 3 for Initial Briefs (Electric)" xfId="1082"/>
    <cellStyle name="_DEM-WP(C) Colstrip FOR_Book2_Adj Bench DR 3 for Initial Briefs (Electric) 2" xfId="1083"/>
    <cellStyle name="_DEM-WP(C) Colstrip FOR_Book2_Adj Bench DR 3 for Initial Briefs (Electric) 2 2" xfId="6019"/>
    <cellStyle name="_DEM-WP(C) Colstrip FOR_Book2_Adj Bench DR 3 for Initial Briefs (Electric) 3" xfId="6020"/>
    <cellStyle name="_DEM-WP(C) Colstrip FOR_Book2_Electric Rev Req Model (2009 GRC) Rebuttal" xfId="1084"/>
    <cellStyle name="_DEM-WP(C) Colstrip FOR_Book2_Electric Rev Req Model (2009 GRC) Rebuttal 2" xfId="3840"/>
    <cellStyle name="_DEM-WP(C) Colstrip FOR_Book2_Electric Rev Req Model (2009 GRC) Rebuttal 2 2" xfId="6021"/>
    <cellStyle name="_DEM-WP(C) Colstrip FOR_Book2_Electric Rev Req Model (2009 GRC) Rebuttal 3" xfId="6022"/>
    <cellStyle name="_DEM-WP(C) Colstrip FOR_Book2_Electric Rev Req Model (2009 GRC) Rebuttal REmoval of New  WH Solar AdjustMI" xfId="1085"/>
    <cellStyle name="_DEM-WP(C) Colstrip FOR_Book2_Electric Rev Req Model (2009 GRC) Rebuttal REmoval of New  WH Solar AdjustMI 2" xfId="1086"/>
    <cellStyle name="_DEM-WP(C) Colstrip FOR_Book2_Electric Rev Req Model (2009 GRC) Rebuttal REmoval of New  WH Solar AdjustMI 2 2" xfId="6023"/>
    <cellStyle name="_DEM-WP(C) Colstrip FOR_Book2_Electric Rev Req Model (2009 GRC) Rebuttal REmoval of New  WH Solar AdjustMI 3" xfId="6024"/>
    <cellStyle name="_DEM-WP(C) Colstrip FOR_Book2_Electric Rev Req Model (2009 GRC) Revised 01-18-2010" xfId="1087"/>
    <cellStyle name="_DEM-WP(C) Colstrip FOR_Book2_Electric Rev Req Model (2009 GRC) Revised 01-18-2010 2" xfId="1088"/>
    <cellStyle name="_DEM-WP(C) Colstrip FOR_Book2_Electric Rev Req Model (2009 GRC) Revised 01-18-2010 2 2" xfId="6025"/>
    <cellStyle name="_DEM-WP(C) Colstrip FOR_Book2_Electric Rev Req Model (2009 GRC) Revised 01-18-2010 3" xfId="6026"/>
    <cellStyle name="_DEM-WP(C) Colstrip FOR_Book2_Final Order Electric EXHIBIT A-1" xfId="1089"/>
    <cellStyle name="_DEM-WP(C) Colstrip FOR_Book2_Final Order Electric EXHIBIT A-1 2" xfId="3841"/>
    <cellStyle name="_DEM-WP(C) Colstrip FOR_Book2_Final Order Electric EXHIBIT A-1 2 2" xfId="6027"/>
    <cellStyle name="_DEM-WP(C) Colstrip FOR_Book2_Final Order Electric EXHIBIT A-1 3" xfId="6028"/>
    <cellStyle name="_DEM-WP(C) Colstrip FOR_Electric Rev Req Model (2009 GRC) Rebuttal" xfId="1090"/>
    <cellStyle name="_DEM-WP(C) Colstrip FOR_Electric Rev Req Model (2009 GRC) Rebuttal 2" xfId="3842"/>
    <cellStyle name="_DEM-WP(C) Colstrip FOR_Electric Rev Req Model (2009 GRC) Rebuttal 2 2" xfId="6029"/>
    <cellStyle name="_DEM-WP(C) Colstrip FOR_Electric Rev Req Model (2009 GRC) Rebuttal 3" xfId="6030"/>
    <cellStyle name="_DEM-WP(C) Colstrip FOR_Electric Rev Req Model (2009 GRC) Rebuttal REmoval of New  WH Solar AdjustMI" xfId="1091"/>
    <cellStyle name="_DEM-WP(C) Colstrip FOR_Electric Rev Req Model (2009 GRC) Rebuttal REmoval of New  WH Solar AdjustMI 2" xfId="1092"/>
    <cellStyle name="_DEM-WP(C) Colstrip FOR_Electric Rev Req Model (2009 GRC) Rebuttal REmoval of New  WH Solar AdjustMI 2 2" xfId="6031"/>
    <cellStyle name="_DEM-WP(C) Colstrip FOR_Electric Rev Req Model (2009 GRC) Rebuttal REmoval of New  WH Solar AdjustMI 3" xfId="6032"/>
    <cellStyle name="_DEM-WP(C) Colstrip FOR_Electric Rev Req Model (2009 GRC) Revised 01-18-2010" xfId="1093"/>
    <cellStyle name="_DEM-WP(C) Colstrip FOR_Electric Rev Req Model (2009 GRC) Revised 01-18-2010 2" xfId="1094"/>
    <cellStyle name="_DEM-WP(C) Colstrip FOR_Electric Rev Req Model (2009 GRC) Revised 01-18-2010 2 2" xfId="6033"/>
    <cellStyle name="_DEM-WP(C) Colstrip FOR_Electric Rev Req Model (2009 GRC) Revised 01-18-2010 3" xfId="6034"/>
    <cellStyle name="_DEM-WP(C) Colstrip FOR_Final Order Electric EXHIBIT A-1" xfId="1095"/>
    <cellStyle name="_DEM-WP(C) Colstrip FOR_Final Order Electric EXHIBIT A-1 2" xfId="3843"/>
    <cellStyle name="_DEM-WP(C) Colstrip FOR_Final Order Electric EXHIBIT A-1 2 2" xfId="6035"/>
    <cellStyle name="_DEM-WP(C) Colstrip FOR_Final Order Electric EXHIBIT A-1 3" xfId="6036"/>
    <cellStyle name="_DEM-WP(C) Colstrip FOR_Rebuttal Power Costs" xfId="1096"/>
    <cellStyle name="_DEM-WP(C) Colstrip FOR_Rebuttal Power Costs 2" xfId="1097"/>
    <cellStyle name="_DEM-WP(C) Colstrip FOR_Rebuttal Power Costs 2 2" xfId="6037"/>
    <cellStyle name="_DEM-WP(C) Colstrip FOR_Rebuttal Power Costs 3" xfId="6038"/>
    <cellStyle name="_DEM-WP(C) Colstrip FOR_Rebuttal Power Costs_Adj Bench DR 3 for Initial Briefs (Electric)" xfId="1098"/>
    <cellStyle name="_DEM-WP(C) Colstrip FOR_Rebuttal Power Costs_Adj Bench DR 3 for Initial Briefs (Electric) 2" xfId="1099"/>
    <cellStyle name="_DEM-WP(C) Colstrip FOR_Rebuttal Power Costs_Adj Bench DR 3 for Initial Briefs (Electric) 2 2" xfId="6039"/>
    <cellStyle name="_DEM-WP(C) Colstrip FOR_Rebuttal Power Costs_Adj Bench DR 3 for Initial Briefs (Electric) 3" xfId="6040"/>
    <cellStyle name="_DEM-WP(C) Colstrip FOR_Rebuttal Power Costs_Electric Rev Req Model (2009 GRC) Rebuttal" xfId="1100"/>
    <cellStyle name="_DEM-WP(C) Colstrip FOR_Rebuttal Power Costs_Electric Rev Req Model (2009 GRC) Rebuttal 2" xfId="3844"/>
    <cellStyle name="_DEM-WP(C) Colstrip FOR_Rebuttal Power Costs_Electric Rev Req Model (2009 GRC) Rebuttal 2 2" xfId="6041"/>
    <cellStyle name="_DEM-WP(C) Colstrip FOR_Rebuttal Power Costs_Electric Rev Req Model (2009 GRC) Rebuttal 3" xfId="6042"/>
    <cellStyle name="_DEM-WP(C) Colstrip FOR_Rebuttal Power Costs_Electric Rev Req Model (2009 GRC) Rebuttal REmoval of New  WH Solar AdjustMI" xfId="1101"/>
    <cellStyle name="_DEM-WP(C) Colstrip FOR_Rebuttal Power Costs_Electric Rev Req Model (2009 GRC) Rebuttal REmoval of New  WH Solar AdjustMI 2" xfId="1102"/>
    <cellStyle name="_DEM-WP(C) Colstrip FOR_Rebuttal Power Costs_Electric Rev Req Model (2009 GRC) Rebuttal REmoval of New  WH Solar AdjustMI 2 2" xfId="6043"/>
    <cellStyle name="_DEM-WP(C) Colstrip FOR_Rebuttal Power Costs_Electric Rev Req Model (2009 GRC) Rebuttal REmoval of New  WH Solar AdjustMI 3" xfId="6044"/>
    <cellStyle name="_DEM-WP(C) Colstrip FOR_Rebuttal Power Costs_Electric Rev Req Model (2009 GRC) Revised 01-18-2010" xfId="1103"/>
    <cellStyle name="_DEM-WP(C) Colstrip FOR_Rebuttal Power Costs_Electric Rev Req Model (2009 GRC) Revised 01-18-2010 2" xfId="1104"/>
    <cellStyle name="_DEM-WP(C) Colstrip FOR_Rebuttal Power Costs_Electric Rev Req Model (2009 GRC) Revised 01-18-2010 2 2" xfId="6045"/>
    <cellStyle name="_DEM-WP(C) Colstrip FOR_Rebuttal Power Costs_Electric Rev Req Model (2009 GRC) Revised 01-18-2010 3" xfId="6046"/>
    <cellStyle name="_DEM-WP(C) Colstrip FOR_Rebuttal Power Costs_Final Order Electric EXHIBIT A-1" xfId="1105"/>
    <cellStyle name="_DEM-WP(C) Colstrip FOR_Rebuttal Power Costs_Final Order Electric EXHIBIT A-1 2" xfId="3845"/>
    <cellStyle name="_DEM-WP(C) Colstrip FOR_Rebuttal Power Costs_Final Order Electric EXHIBIT A-1 2 2" xfId="6047"/>
    <cellStyle name="_DEM-WP(C) Colstrip FOR_Rebuttal Power Costs_Final Order Electric EXHIBIT A-1 3" xfId="6048"/>
    <cellStyle name="_DEM-WP(C) Colstrip FOR_TENASKA REGULATORY ASSET" xfId="1106"/>
    <cellStyle name="_DEM-WP(C) Colstrip FOR_TENASKA REGULATORY ASSET 2" xfId="3846"/>
    <cellStyle name="_DEM-WP(C) Colstrip FOR_TENASKA REGULATORY ASSET 2 2" xfId="6049"/>
    <cellStyle name="_DEM-WP(C) Colstrip FOR_TENASKA REGULATORY ASSET 3" xfId="6050"/>
    <cellStyle name="_DEM-WP(C) Costs not in AURORA 2006GRC" xfId="1107"/>
    <cellStyle name="_DEM-WP(C) Costs not in AURORA 2006GRC 2" xfId="1108"/>
    <cellStyle name="_DEM-WP(C) Costs not in AURORA 2006GRC 2 2" xfId="1109"/>
    <cellStyle name="_DEM-WP(C) Costs not in AURORA 2006GRC 2 2 2" xfId="6051"/>
    <cellStyle name="_DEM-WP(C) Costs not in AURORA 2006GRC 2 3" xfId="6052"/>
    <cellStyle name="_DEM-WP(C) Costs not in AURORA 2006GRC 3" xfId="1110"/>
    <cellStyle name="_DEM-WP(C) Costs not in AURORA 2006GRC 3 2" xfId="6053"/>
    <cellStyle name="_DEM-WP(C) Costs not in AURORA 2006GRC 4" xfId="1111"/>
    <cellStyle name="_DEM-WP(C) Costs not in AURORA 2006GRC 4 2" xfId="3345"/>
    <cellStyle name="_DEM-WP(C) Costs not in AURORA 2006GRC_(C) WHE Proforma with ITC cash grant 10 Yr Amort_for deferral_102809" xfId="1112"/>
    <cellStyle name="_DEM-WP(C) Costs not in AURORA 2006GRC_(C) WHE Proforma with ITC cash grant 10 Yr Amort_for deferral_102809 2" xfId="1113"/>
    <cellStyle name="_DEM-WP(C) Costs not in AURORA 2006GRC_(C) WHE Proforma with ITC cash grant 10 Yr Amort_for deferral_102809 2 2" xfId="6054"/>
    <cellStyle name="_DEM-WP(C) Costs not in AURORA 2006GRC_(C) WHE Proforma with ITC cash grant 10 Yr Amort_for deferral_102809 3" xfId="6055"/>
    <cellStyle name="_DEM-WP(C) Costs not in AURORA 2006GRC_(C) WHE Proforma with ITC cash grant 10 Yr Amort_for deferral_102809_16.07E Wild Horse Wind Expansionwrkingfile" xfId="1114"/>
    <cellStyle name="_DEM-WP(C) Costs not in AURORA 2006GRC_(C) WHE Proforma with ITC cash grant 10 Yr Amort_for deferral_102809_16.07E Wild Horse Wind Expansionwrkingfile 2" xfId="1115"/>
    <cellStyle name="_DEM-WP(C) Costs not in AURORA 2006GRC_(C) WHE Proforma with ITC cash grant 10 Yr Amort_for deferral_102809_16.07E Wild Horse Wind Expansionwrkingfile 2 2" xfId="6056"/>
    <cellStyle name="_DEM-WP(C) Costs not in AURORA 2006GRC_(C) WHE Proforma with ITC cash grant 10 Yr Amort_for deferral_102809_16.07E Wild Horse Wind Expansionwrkingfile 3" xfId="6057"/>
    <cellStyle name="_DEM-WP(C) Costs not in AURORA 2006GRC_(C) WHE Proforma with ITC cash grant 10 Yr Amort_for deferral_102809_16.07E Wild Horse Wind Expansionwrkingfile SF" xfId="1116"/>
    <cellStyle name="_DEM-WP(C) Costs not in AURORA 2006GRC_(C) WHE Proforma with ITC cash grant 10 Yr Amort_for deferral_102809_16.07E Wild Horse Wind Expansionwrkingfile SF 2" xfId="1117"/>
    <cellStyle name="_DEM-WP(C) Costs not in AURORA 2006GRC_(C) WHE Proforma with ITC cash grant 10 Yr Amort_for deferral_102809_16.07E Wild Horse Wind Expansionwrkingfile SF 2 2" xfId="6058"/>
    <cellStyle name="_DEM-WP(C) Costs not in AURORA 2006GRC_(C) WHE Proforma with ITC cash grant 10 Yr Amort_for deferral_102809_16.07E Wild Horse Wind Expansionwrkingfile SF 3" xfId="6059"/>
    <cellStyle name="_DEM-WP(C) Costs not in AURORA 2006GRC_(C) WHE Proforma with ITC cash grant 10 Yr Amort_for deferral_102809_16.37E Wild Horse Expansion DeferralRevwrkingfile SF" xfId="1118"/>
    <cellStyle name="_DEM-WP(C) Costs not in AURORA 2006GRC_(C) WHE Proforma with ITC cash grant 10 Yr Amort_for deferral_102809_16.37E Wild Horse Expansion DeferralRevwrkingfile SF 2" xfId="1119"/>
    <cellStyle name="_DEM-WP(C) Costs not in AURORA 2006GRC_(C) WHE Proforma with ITC cash grant 10 Yr Amort_for deferral_102809_16.37E Wild Horse Expansion DeferralRevwrkingfile SF 2 2" xfId="6060"/>
    <cellStyle name="_DEM-WP(C) Costs not in AURORA 2006GRC_(C) WHE Proforma with ITC cash grant 10 Yr Amort_for deferral_102809_16.37E Wild Horse Expansion DeferralRevwrkingfile SF 3" xfId="6061"/>
    <cellStyle name="_DEM-WP(C) Costs not in AURORA 2006GRC_(C) WHE Proforma with ITC cash grant 10 Yr Amort_for rebuttal_120709" xfId="1120"/>
    <cellStyle name="_DEM-WP(C) Costs not in AURORA 2006GRC_(C) WHE Proforma with ITC cash grant 10 Yr Amort_for rebuttal_120709 2" xfId="1121"/>
    <cellStyle name="_DEM-WP(C) Costs not in AURORA 2006GRC_(C) WHE Proforma with ITC cash grant 10 Yr Amort_for rebuttal_120709 2 2" xfId="6062"/>
    <cellStyle name="_DEM-WP(C) Costs not in AURORA 2006GRC_(C) WHE Proforma with ITC cash grant 10 Yr Amort_for rebuttal_120709 3" xfId="6063"/>
    <cellStyle name="_DEM-WP(C) Costs not in AURORA 2006GRC_04.07E Wild Horse Wind Expansion" xfId="1122"/>
    <cellStyle name="_DEM-WP(C) Costs not in AURORA 2006GRC_04.07E Wild Horse Wind Expansion 2" xfId="1123"/>
    <cellStyle name="_DEM-WP(C) Costs not in AURORA 2006GRC_04.07E Wild Horse Wind Expansion 2 2" xfId="6064"/>
    <cellStyle name="_DEM-WP(C) Costs not in AURORA 2006GRC_04.07E Wild Horse Wind Expansion 3" xfId="6065"/>
    <cellStyle name="_DEM-WP(C) Costs not in AURORA 2006GRC_04.07E Wild Horse Wind Expansion_16.07E Wild Horse Wind Expansionwrkingfile" xfId="1124"/>
    <cellStyle name="_DEM-WP(C) Costs not in AURORA 2006GRC_04.07E Wild Horse Wind Expansion_16.07E Wild Horse Wind Expansionwrkingfile 2" xfId="1125"/>
    <cellStyle name="_DEM-WP(C) Costs not in AURORA 2006GRC_04.07E Wild Horse Wind Expansion_16.07E Wild Horse Wind Expansionwrkingfile 2 2" xfId="6066"/>
    <cellStyle name="_DEM-WP(C) Costs not in AURORA 2006GRC_04.07E Wild Horse Wind Expansion_16.07E Wild Horse Wind Expansionwrkingfile 3" xfId="6067"/>
    <cellStyle name="_DEM-WP(C) Costs not in AURORA 2006GRC_04.07E Wild Horse Wind Expansion_16.07E Wild Horse Wind Expansionwrkingfile SF" xfId="1126"/>
    <cellStyle name="_DEM-WP(C) Costs not in AURORA 2006GRC_04.07E Wild Horse Wind Expansion_16.07E Wild Horse Wind Expansionwrkingfile SF 2" xfId="1127"/>
    <cellStyle name="_DEM-WP(C) Costs not in AURORA 2006GRC_04.07E Wild Horse Wind Expansion_16.07E Wild Horse Wind Expansionwrkingfile SF 2 2" xfId="6068"/>
    <cellStyle name="_DEM-WP(C) Costs not in AURORA 2006GRC_04.07E Wild Horse Wind Expansion_16.07E Wild Horse Wind Expansionwrkingfile SF 3" xfId="6069"/>
    <cellStyle name="_DEM-WP(C) Costs not in AURORA 2006GRC_04.07E Wild Horse Wind Expansion_16.37E Wild Horse Expansion DeferralRevwrkingfile SF" xfId="1128"/>
    <cellStyle name="_DEM-WP(C) Costs not in AURORA 2006GRC_04.07E Wild Horse Wind Expansion_16.37E Wild Horse Expansion DeferralRevwrkingfile SF 2" xfId="1129"/>
    <cellStyle name="_DEM-WP(C) Costs not in AURORA 2006GRC_04.07E Wild Horse Wind Expansion_16.37E Wild Horse Expansion DeferralRevwrkingfile SF 2 2" xfId="6070"/>
    <cellStyle name="_DEM-WP(C) Costs not in AURORA 2006GRC_04.07E Wild Horse Wind Expansion_16.37E Wild Horse Expansion DeferralRevwrkingfile SF 3" xfId="6071"/>
    <cellStyle name="_DEM-WP(C) Costs not in AURORA 2006GRC_16.07E Wild Horse Wind Expansionwrkingfile" xfId="1130"/>
    <cellStyle name="_DEM-WP(C) Costs not in AURORA 2006GRC_16.07E Wild Horse Wind Expansionwrkingfile 2" xfId="1131"/>
    <cellStyle name="_DEM-WP(C) Costs not in AURORA 2006GRC_16.07E Wild Horse Wind Expansionwrkingfile 2 2" xfId="6072"/>
    <cellStyle name="_DEM-WP(C) Costs not in AURORA 2006GRC_16.07E Wild Horse Wind Expansionwrkingfile 3" xfId="6073"/>
    <cellStyle name="_DEM-WP(C) Costs not in AURORA 2006GRC_16.07E Wild Horse Wind Expansionwrkingfile SF" xfId="1132"/>
    <cellStyle name="_DEM-WP(C) Costs not in AURORA 2006GRC_16.07E Wild Horse Wind Expansionwrkingfile SF 2" xfId="1133"/>
    <cellStyle name="_DEM-WP(C) Costs not in AURORA 2006GRC_16.07E Wild Horse Wind Expansionwrkingfile SF 2 2" xfId="6074"/>
    <cellStyle name="_DEM-WP(C) Costs not in AURORA 2006GRC_16.07E Wild Horse Wind Expansionwrkingfile SF 3" xfId="6075"/>
    <cellStyle name="_DEM-WP(C) Costs not in AURORA 2006GRC_16.37E Wild Horse Expansion DeferralRevwrkingfile SF" xfId="1134"/>
    <cellStyle name="_DEM-WP(C) Costs not in AURORA 2006GRC_16.37E Wild Horse Expansion DeferralRevwrkingfile SF 2" xfId="1135"/>
    <cellStyle name="_DEM-WP(C) Costs not in AURORA 2006GRC_16.37E Wild Horse Expansion DeferralRevwrkingfile SF 2 2" xfId="6076"/>
    <cellStyle name="_DEM-WP(C) Costs not in AURORA 2006GRC_16.37E Wild Horse Expansion DeferralRevwrkingfile SF 3" xfId="6077"/>
    <cellStyle name="_DEM-WP(C) Costs not in AURORA 2006GRC_2009 GRC Compl Filing - Exhibit D" xfId="1136"/>
    <cellStyle name="_DEM-WP(C) Costs not in AURORA 2006GRC_2009 GRC Compl Filing - Exhibit D 2" xfId="1137"/>
    <cellStyle name="_DEM-WP(C) Costs not in AURORA 2006GRC_4 31 Regulatory Assets and Liabilities  7 06- Exhibit D" xfId="1138"/>
    <cellStyle name="_DEM-WP(C) Costs not in AURORA 2006GRC_4 31 Regulatory Assets and Liabilities  7 06- Exhibit D 2" xfId="1139"/>
    <cellStyle name="_DEM-WP(C) Costs not in AURORA 2006GRC_4 31 Regulatory Assets and Liabilities  7 06- Exhibit D 2 2" xfId="6078"/>
    <cellStyle name="_DEM-WP(C) Costs not in AURORA 2006GRC_4 31 Regulatory Assets and Liabilities  7 06- Exhibit D 3" xfId="6079"/>
    <cellStyle name="_DEM-WP(C) Costs not in AURORA 2006GRC_4 31 Regulatory Assets and Liabilities  7 06- Exhibit D_NIM Summary" xfId="1140"/>
    <cellStyle name="_DEM-WP(C) Costs not in AURORA 2006GRC_4 31 Regulatory Assets and Liabilities  7 06- Exhibit D_NIM Summary 2" xfId="1141"/>
    <cellStyle name="_DEM-WP(C) Costs not in AURORA 2006GRC_4 32 Regulatory Assets and Liabilities  7 06- Exhibit D" xfId="1142"/>
    <cellStyle name="_DEM-WP(C) Costs not in AURORA 2006GRC_4 32 Regulatory Assets and Liabilities  7 06- Exhibit D 2" xfId="1143"/>
    <cellStyle name="_DEM-WP(C) Costs not in AURORA 2006GRC_4 32 Regulatory Assets and Liabilities  7 06- Exhibit D 2 2" xfId="6080"/>
    <cellStyle name="_DEM-WP(C) Costs not in AURORA 2006GRC_4 32 Regulatory Assets and Liabilities  7 06- Exhibit D 3" xfId="6081"/>
    <cellStyle name="_DEM-WP(C) Costs not in AURORA 2006GRC_4 32 Regulatory Assets and Liabilities  7 06- Exhibit D_NIM Summary" xfId="1144"/>
    <cellStyle name="_DEM-WP(C) Costs not in AURORA 2006GRC_4 32 Regulatory Assets and Liabilities  7 06- Exhibit D_NIM Summary 2" xfId="1145"/>
    <cellStyle name="_DEM-WP(C) Costs not in AURORA 2006GRC_AURORA Total New" xfId="1146"/>
    <cellStyle name="_DEM-WP(C) Costs not in AURORA 2006GRC_AURORA Total New 2" xfId="1147"/>
    <cellStyle name="_DEM-WP(C) Costs not in AURORA 2006GRC_Book2" xfId="1148"/>
    <cellStyle name="_DEM-WP(C) Costs not in AURORA 2006GRC_Book2 2" xfId="1149"/>
    <cellStyle name="_DEM-WP(C) Costs not in AURORA 2006GRC_Book2 2 2" xfId="6082"/>
    <cellStyle name="_DEM-WP(C) Costs not in AURORA 2006GRC_Book2 3" xfId="6083"/>
    <cellStyle name="_DEM-WP(C) Costs not in AURORA 2006GRC_Book2_Adj Bench DR 3 for Initial Briefs (Electric)" xfId="1150"/>
    <cellStyle name="_DEM-WP(C) Costs not in AURORA 2006GRC_Book2_Adj Bench DR 3 for Initial Briefs (Electric) 2" xfId="1151"/>
    <cellStyle name="_DEM-WP(C) Costs not in AURORA 2006GRC_Book2_Adj Bench DR 3 for Initial Briefs (Electric) 2 2" xfId="6084"/>
    <cellStyle name="_DEM-WP(C) Costs not in AURORA 2006GRC_Book2_Adj Bench DR 3 for Initial Briefs (Electric) 3" xfId="6085"/>
    <cellStyle name="_DEM-WP(C) Costs not in AURORA 2006GRC_Book2_Electric Rev Req Model (2009 GRC) Rebuttal" xfId="1152"/>
    <cellStyle name="_DEM-WP(C) Costs not in AURORA 2006GRC_Book2_Electric Rev Req Model (2009 GRC) Rebuttal 2" xfId="3847"/>
    <cellStyle name="_DEM-WP(C) Costs not in AURORA 2006GRC_Book2_Electric Rev Req Model (2009 GRC) Rebuttal 2 2" xfId="6086"/>
    <cellStyle name="_DEM-WP(C) Costs not in AURORA 2006GRC_Book2_Electric Rev Req Model (2009 GRC) Rebuttal 3" xfId="6087"/>
    <cellStyle name="_DEM-WP(C) Costs not in AURORA 2006GRC_Book2_Electric Rev Req Model (2009 GRC) Rebuttal REmoval of New  WH Solar AdjustMI" xfId="1153"/>
    <cellStyle name="_DEM-WP(C) Costs not in AURORA 2006GRC_Book2_Electric Rev Req Model (2009 GRC) Rebuttal REmoval of New  WH Solar AdjustMI 2" xfId="1154"/>
    <cellStyle name="_DEM-WP(C) Costs not in AURORA 2006GRC_Book2_Electric Rev Req Model (2009 GRC) Rebuttal REmoval of New  WH Solar AdjustMI 2 2" xfId="6088"/>
    <cellStyle name="_DEM-WP(C) Costs not in AURORA 2006GRC_Book2_Electric Rev Req Model (2009 GRC) Rebuttal REmoval of New  WH Solar AdjustMI 3" xfId="6089"/>
    <cellStyle name="_DEM-WP(C) Costs not in AURORA 2006GRC_Book2_Electric Rev Req Model (2009 GRC) Revised 01-18-2010" xfId="1155"/>
    <cellStyle name="_DEM-WP(C) Costs not in AURORA 2006GRC_Book2_Electric Rev Req Model (2009 GRC) Revised 01-18-2010 2" xfId="1156"/>
    <cellStyle name="_DEM-WP(C) Costs not in AURORA 2006GRC_Book2_Electric Rev Req Model (2009 GRC) Revised 01-18-2010 2 2" xfId="6090"/>
    <cellStyle name="_DEM-WP(C) Costs not in AURORA 2006GRC_Book2_Electric Rev Req Model (2009 GRC) Revised 01-18-2010 3" xfId="6091"/>
    <cellStyle name="_DEM-WP(C) Costs not in AURORA 2006GRC_Book2_Final Order Electric EXHIBIT A-1" xfId="1157"/>
    <cellStyle name="_DEM-WP(C) Costs not in AURORA 2006GRC_Book2_Final Order Electric EXHIBIT A-1 2" xfId="3848"/>
    <cellStyle name="_DEM-WP(C) Costs not in AURORA 2006GRC_Book2_Final Order Electric EXHIBIT A-1 2 2" xfId="6092"/>
    <cellStyle name="_DEM-WP(C) Costs not in AURORA 2006GRC_Book2_Final Order Electric EXHIBIT A-1 3" xfId="6093"/>
    <cellStyle name="_DEM-WP(C) Costs not in AURORA 2006GRC_Book4" xfId="1158"/>
    <cellStyle name="_DEM-WP(C) Costs not in AURORA 2006GRC_Book4 2" xfId="1159"/>
    <cellStyle name="_DEM-WP(C) Costs not in AURORA 2006GRC_Book4 2 2" xfId="6094"/>
    <cellStyle name="_DEM-WP(C) Costs not in AURORA 2006GRC_Book4 3" xfId="6095"/>
    <cellStyle name="_DEM-WP(C) Costs not in AURORA 2006GRC_Book9" xfId="1160"/>
    <cellStyle name="_DEM-WP(C) Costs not in AURORA 2006GRC_Book9 2" xfId="1161"/>
    <cellStyle name="_DEM-WP(C) Costs not in AURORA 2006GRC_Book9 2 2" xfId="6096"/>
    <cellStyle name="_DEM-WP(C) Costs not in AURORA 2006GRC_Book9 3" xfId="6097"/>
    <cellStyle name="_DEM-WP(C) Costs not in AURORA 2006GRC_Electric COS Inputs" xfId="3849"/>
    <cellStyle name="_DEM-WP(C) Costs not in AURORA 2006GRC_Electric COS Inputs 2" xfId="3850"/>
    <cellStyle name="_DEM-WP(C) Costs not in AURORA 2006GRC_Electric COS Inputs 2 2" xfId="3851"/>
    <cellStyle name="_DEM-WP(C) Costs not in AURORA 2006GRC_Electric COS Inputs 2 2 2" xfId="6098"/>
    <cellStyle name="_DEM-WP(C) Costs not in AURORA 2006GRC_Electric COS Inputs 2 3" xfId="3852"/>
    <cellStyle name="_DEM-WP(C) Costs not in AURORA 2006GRC_Electric COS Inputs 2 3 2" xfId="6099"/>
    <cellStyle name="_DEM-WP(C) Costs not in AURORA 2006GRC_Electric COS Inputs 2 4" xfId="3853"/>
    <cellStyle name="_DEM-WP(C) Costs not in AURORA 2006GRC_Electric COS Inputs 2 4 2" xfId="6100"/>
    <cellStyle name="_DEM-WP(C) Costs not in AURORA 2006GRC_Electric COS Inputs 3" xfId="3854"/>
    <cellStyle name="_DEM-WP(C) Costs not in AURORA 2006GRC_Electric COS Inputs 3 2" xfId="6101"/>
    <cellStyle name="_DEM-WP(C) Costs not in AURORA 2006GRC_Electric COS Inputs 4" xfId="3855"/>
    <cellStyle name="_DEM-WP(C) Costs not in AURORA 2006GRC_Electric COS Inputs 4 2" xfId="6102"/>
    <cellStyle name="_DEM-WP(C) Costs not in AURORA 2006GRC_Electric COS Inputs 5" xfId="6103"/>
    <cellStyle name="_DEM-WP(C) Costs not in AURORA 2006GRC_NIM Summary" xfId="1162"/>
    <cellStyle name="_DEM-WP(C) Costs not in AURORA 2006GRC_NIM Summary 09GRC" xfId="1163"/>
    <cellStyle name="_DEM-WP(C) Costs not in AURORA 2006GRC_NIM Summary 09GRC 2" xfId="1164"/>
    <cellStyle name="_DEM-WP(C) Costs not in AURORA 2006GRC_NIM Summary 2" xfId="1165"/>
    <cellStyle name="_DEM-WP(C) Costs not in AURORA 2006GRC_NIM Summary 3" xfId="1166"/>
    <cellStyle name="_DEM-WP(C) Costs not in AURORA 2006GRC_NIM Summary 4" xfId="3346"/>
    <cellStyle name="_DEM-WP(C) Costs not in AURORA 2006GRC_NIM Summary 5" xfId="3347"/>
    <cellStyle name="_DEM-WP(C) Costs not in AURORA 2006GRC_NIM Summary 6" xfId="3348"/>
    <cellStyle name="_DEM-WP(C) Costs not in AURORA 2006GRC_NIM Summary 7" xfId="3349"/>
    <cellStyle name="_DEM-WP(C) Costs not in AURORA 2006GRC_NIM Summary 8" xfId="3350"/>
    <cellStyle name="_DEM-WP(C) Costs not in AURORA 2006GRC_NIM Summary 9" xfId="3351"/>
    <cellStyle name="_DEM-WP(C) Costs not in AURORA 2006GRC_PCA 9 -  Exhibit D April 2010 (3)" xfId="1167"/>
    <cellStyle name="_DEM-WP(C) Costs not in AURORA 2006GRC_PCA 9 -  Exhibit D April 2010 (3) 2" xfId="1168"/>
    <cellStyle name="_DEM-WP(C) Costs not in AURORA 2006GRC_Power Costs - Comparison bx Rbtl-Staff-Jt-PC" xfId="1169"/>
    <cellStyle name="_DEM-WP(C) Costs not in AURORA 2006GRC_Power Costs - Comparison bx Rbtl-Staff-Jt-PC 2" xfId="1170"/>
    <cellStyle name="_DEM-WP(C) Costs not in AURORA 2006GRC_Power Costs - Comparison bx Rbtl-Staff-Jt-PC 2 2" xfId="6104"/>
    <cellStyle name="_DEM-WP(C) Costs not in AURORA 2006GRC_Power Costs - Comparison bx Rbtl-Staff-Jt-PC 3" xfId="6105"/>
    <cellStyle name="_DEM-WP(C) Costs not in AURORA 2006GRC_Power Costs - Comparison bx Rbtl-Staff-Jt-PC_Adj Bench DR 3 for Initial Briefs (Electric)" xfId="1171"/>
    <cellStyle name="_DEM-WP(C) Costs not in AURORA 2006GRC_Power Costs - Comparison bx Rbtl-Staff-Jt-PC_Adj Bench DR 3 for Initial Briefs (Electric) 2" xfId="1172"/>
    <cellStyle name="_DEM-WP(C) Costs not in AURORA 2006GRC_Power Costs - Comparison bx Rbtl-Staff-Jt-PC_Adj Bench DR 3 for Initial Briefs (Electric) 2 2" xfId="6106"/>
    <cellStyle name="_DEM-WP(C) Costs not in AURORA 2006GRC_Power Costs - Comparison bx Rbtl-Staff-Jt-PC_Adj Bench DR 3 for Initial Briefs (Electric) 3" xfId="6107"/>
    <cellStyle name="_DEM-WP(C) Costs not in AURORA 2006GRC_Power Costs - Comparison bx Rbtl-Staff-Jt-PC_Electric Rev Req Model (2009 GRC) Rebuttal" xfId="1173"/>
    <cellStyle name="_DEM-WP(C) Costs not in AURORA 2006GRC_Power Costs - Comparison bx Rbtl-Staff-Jt-PC_Electric Rev Req Model (2009 GRC) Rebuttal 2" xfId="3856"/>
    <cellStyle name="_DEM-WP(C) Costs not in AURORA 2006GRC_Power Costs - Comparison bx Rbtl-Staff-Jt-PC_Electric Rev Req Model (2009 GRC) Rebuttal 2 2" xfId="6108"/>
    <cellStyle name="_DEM-WP(C) Costs not in AURORA 2006GRC_Power Costs - Comparison bx Rbtl-Staff-Jt-PC_Electric Rev Req Model (2009 GRC) Rebuttal 3" xfId="6109"/>
    <cellStyle name="_DEM-WP(C) Costs not in AURORA 2006GRC_Power Costs - Comparison bx Rbtl-Staff-Jt-PC_Electric Rev Req Model (2009 GRC) Rebuttal REmoval of New  WH Solar AdjustMI" xfId="1174"/>
    <cellStyle name="_DEM-WP(C) Costs not in AURORA 2006GRC_Power Costs - Comparison bx Rbtl-Staff-Jt-PC_Electric Rev Req Model (2009 GRC) Rebuttal REmoval of New  WH Solar AdjustMI 2" xfId="1175"/>
    <cellStyle name="_DEM-WP(C) Costs not in AURORA 2006GRC_Power Costs - Comparison bx Rbtl-Staff-Jt-PC_Electric Rev Req Model (2009 GRC) Rebuttal REmoval of New  WH Solar AdjustMI 2 2" xfId="6110"/>
    <cellStyle name="_DEM-WP(C) Costs not in AURORA 2006GRC_Power Costs - Comparison bx Rbtl-Staff-Jt-PC_Electric Rev Req Model (2009 GRC) Rebuttal REmoval of New  WH Solar AdjustMI 3" xfId="6111"/>
    <cellStyle name="_DEM-WP(C) Costs not in AURORA 2006GRC_Power Costs - Comparison bx Rbtl-Staff-Jt-PC_Electric Rev Req Model (2009 GRC) Revised 01-18-2010" xfId="1176"/>
    <cellStyle name="_DEM-WP(C) Costs not in AURORA 2006GRC_Power Costs - Comparison bx Rbtl-Staff-Jt-PC_Electric Rev Req Model (2009 GRC) Revised 01-18-2010 2" xfId="1177"/>
    <cellStyle name="_DEM-WP(C) Costs not in AURORA 2006GRC_Power Costs - Comparison bx Rbtl-Staff-Jt-PC_Electric Rev Req Model (2009 GRC) Revised 01-18-2010 2 2" xfId="6112"/>
    <cellStyle name="_DEM-WP(C) Costs not in AURORA 2006GRC_Power Costs - Comparison bx Rbtl-Staff-Jt-PC_Electric Rev Req Model (2009 GRC) Revised 01-18-2010 3" xfId="6113"/>
    <cellStyle name="_DEM-WP(C) Costs not in AURORA 2006GRC_Power Costs - Comparison bx Rbtl-Staff-Jt-PC_Final Order Electric EXHIBIT A-1" xfId="1178"/>
    <cellStyle name="_DEM-WP(C) Costs not in AURORA 2006GRC_Power Costs - Comparison bx Rbtl-Staff-Jt-PC_Final Order Electric EXHIBIT A-1 2" xfId="3857"/>
    <cellStyle name="_DEM-WP(C) Costs not in AURORA 2006GRC_Power Costs - Comparison bx Rbtl-Staff-Jt-PC_Final Order Electric EXHIBIT A-1 2 2" xfId="6114"/>
    <cellStyle name="_DEM-WP(C) Costs not in AURORA 2006GRC_Power Costs - Comparison bx Rbtl-Staff-Jt-PC_Final Order Electric EXHIBIT A-1 3" xfId="6115"/>
    <cellStyle name="_DEM-WP(C) Costs not in AURORA 2006GRC_Production Adj 4.37" xfId="3858"/>
    <cellStyle name="_DEM-WP(C) Costs not in AURORA 2006GRC_Production Adj 4.37 2" xfId="3859"/>
    <cellStyle name="_DEM-WP(C) Costs not in AURORA 2006GRC_Production Adj 4.37 2 2" xfId="6116"/>
    <cellStyle name="_DEM-WP(C) Costs not in AURORA 2006GRC_Production Adj 4.37 3" xfId="6117"/>
    <cellStyle name="_DEM-WP(C) Costs not in AURORA 2006GRC_Purchased Power Adj 4.03" xfId="3860"/>
    <cellStyle name="_DEM-WP(C) Costs not in AURORA 2006GRC_Purchased Power Adj 4.03 2" xfId="3861"/>
    <cellStyle name="_DEM-WP(C) Costs not in AURORA 2006GRC_Purchased Power Adj 4.03 2 2" xfId="6118"/>
    <cellStyle name="_DEM-WP(C) Costs not in AURORA 2006GRC_Purchased Power Adj 4.03 3" xfId="6119"/>
    <cellStyle name="_DEM-WP(C) Costs not in AURORA 2006GRC_Rebuttal Power Costs" xfId="1179"/>
    <cellStyle name="_DEM-WP(C) Costs not in AURORA 2006GRC_Rebuttal Power Costs 2" xfId="1180"/>
    <cellStyle name="_DEM-WP(C) Costs not in AURORA 2006GRC_Rebuttal Power Costs 2 2" xfId="6120"/>
    <cellStyle name="_DEM-WP(C) Costs not in AURORA 2006GRC_Rebuttal Power Costs 3" xfId="6121"/>
    <cellStyle name="_DEM-WP(C) Costs not in AURORA 2006GRC_Rebuttal Power Costs_Adj Bench DR 3 for Initial Briefs (Electric)" xfId="1181"/>
    <cellStyle name="_DEM-WP(C) Costs not in AURORA 2006GRC_Rebuttal Power Costs_Adj Bench DR 3 for Initial Briefs (Electric) 2" xfId="1182"/>
    <cellStyle name="_DEM-WP(C) Costs not in AURORA 2006GRC_Rebuttal Power Costs_Adj Bench DR 3 for Initial Briefs (Electric) 2 2" xfId="6122"/>
    <cellStyle name="_DEM-WP(C) Costs not in AURORA 2006GRC_Rebuttal Power Costs_Adj Bench DR 3 for Initial Briefs (Electric) 3" xfId="6123"/>
    <cellStyle name="_DEM-WP(C) Costs not in AURORA 2006GRC_Rebuttal Power Costs_Electric Rev Req Model (2009 GRC) Rebuttal" xfId="1183"/>
    <cellStyle name="_DEM-WP(C) Costs not in AURORA 2006GRC_Rebuttal Power Costs_Electric Rev Req Model (2009 GRC) Rebuttal 2" xfId="3862"/>
    <cellStyle name="_DEM-WP(C) Costs not in AURORA 2006GRC_Rebuttal Power Costs_Electric Rev Req Model (2009 GRC) Rebuttal 2 2" xfId="6124"/>
    <cellStyle name="_DEM-WP(C) Costs not in AURORA 2006GRC_Rebuttal Power Costs_Electric Rev Req Model (2009 GRC) Rebuttal 3" xfId="6125"/>
    <cellStyle name="_DEM-WP(C) Costs not in AURORA 2006GRC_Rebuttal Power Costs_Electric Rev Req Model (2009 GRC) Rebuttal REmoval of New  WH Solar AdjustMI" xfId="1184"/>
    <cellStyle name="_DEM-WP(C) Costs not in AURORA 2006GRC_Rebuttal Power Costs_Electric Rev Req Model (2009 GRC) Rebuttal REmoval of New  WH Solar AdjustMI 2" xfId="1185"/>
    <cellStyle name="_DEM-WP(C) Costs not in AURORA 2006GRC_Rebuttal Power Costs_Electric Rev Req Model (2009 GRC) Rebuttal REmoval of New  WH Solar AdjustMI 2 2" xfId="6126"/>
    <cellStyle name="_DEM-WP(C) Costs not in AURORA 2006GRC_Rebuttal Power Costs_Electric Rev Req Model (2009 GRC) Rebuttal REmoval of New  WH Solar AdjustMI 3" xfId="6127"/>
    <cellStyle name="_DEM-WP(C) Costs not in AURORA 2006GRC_Rebuttal Power Costs_Electric Rev Req Model (2009 GRC) Revised 01-18-2010" xfId="1186"/>
    <cellStyle name="_DEM-WP(C) Costs not in AURORA 2006GRC_Rebuttal Power Costs_Electric Rev Req Model (2009 GRC) Revised 01-18-2010 2" xfId="1187"/>
    <cellStyle name="_DEM-WP(C) Costs not in AURORA 2006GRC_Rebuttal Power Costs_Electric Rev Req Model (2009 GRC) Revised 01-18-2010 2 2" xfId="6128"/>
    <cellStyle name="_DEM-WP(C) Costs not in AURORA 2006GRC_Rebuttal Power Costs_Electric Rev Req Model (2009 GRC) Revised 01-18-2010 3" xfId="6129"/>
    <cellStyle name="_DEM-WP(C) Costs not in AURORA 2006GRC_Rebuttal Power Costs_Final Order Electric EXHIBIT A-1" xfId="1188"/>
    <cellStyle name="_DEM-WP(C) Costs not in AURORA 2006GRC_Rebuttal Power Costs_Final Order Electric EXHIBIT A-1 2" xfId="3863"/>
    <cellStyle name="_DEM-WP(C) Costs not in AURORA 2006GRC_Rebuttal Power Costs_Final Order Electric EXHIBIT A-1 2 2" xfId="6130"/>
    <cellStyle name="_DEM-WP(C) Costs not in AURORA 2006GRC_Rebuttal Power Costs_Final Order Electric EXHIBIT A-1 3" xfId="6131"/>
    <cellStyle name="_DEM-WP(C) Costs not in AURORA 2006GRC_ROR 5.02" xfId="3864"/>
    <cellStyle name="_DEM-WP(C) Costs not in AURORA 2006GRC_ROR 5.02 2" xfId="3865"/>
    <cellStyle name="_DEM-WP(C) Costs not in AURORA 2006GRC_ROR 5.02 2 2" xfId="6132"/>
    <cellStyle name="_DEM-WP(C) Costs not in AURORA 2006GRC_ROR 5.02 3" xfId="6133"/>
    <cellStyle name="_DEM-WP(C) Costs not in AURORA 2006GRC_Transmission Workbook for May BOD" xfId="1189"/>
    <cellStyle name="_DEM-WP(C) Costs not in AURORA 2006GRC_Transmission Workbook for May BOD 2" xfId="1190"/>
    <cellStyle name="_DEM-WP(C) Costs not in AURORA 2006GRC_Wind Integration 10GRC" xfId="1191"/>
    <cellStyle name="_DEM-WP(C) Costs not in AURORA 2006GRC_Wind Integration 10GRC 2" xfId="1192"/>
    <cellStyle name="_DEM-WP(C) Costs not in AURORA 2007GRC" xfId="1193"/>
    <cellStyle name="_DEM-WP(C) Costs not in AURORA 2007GRC 2" xfId="1194"/>
    <cellStyle name="_DEM-WP(C) Costs not in AURORA 2007GRC 2 2" xfId="6134"/>
    <cellStyle name="_DEM-WP(C) Costs not in AURORA 2007GRC 3" xfId="6135"/>
    <cellStyle name="_DEM-WP(C) Costs not in AURORA 2007GRC Update" xfId="1195"/>
    <cellStyle name="_DEM-WP(C) Costs not in AURORA 2007GRC Update 2" xfId="1196"/>
    <cellStyle name="_DEM-WP(C) Costs not in AURORA 2007GRC Update_NIM Summary" xfId="1197"/>
    <cellStyle name="_DEM-WP(C) Costs not in AURORA 2007GRC Update_NIM Summary 2" xfId="1198"/>
    <cellStyle name="_DEM-WP(C) Costs not in AURORA 2007GRC_16.37E Wild Horse Expansion DeferralRevwrkingfile SF" xfId="1199"/>
    <cellStyle name="_DEM-WP(C) Costs not in AURORA 2007GRC_16.37E Wild Horse Expansion DeferralRevwrkingfile SF 2" xfId="1200"/>
    <cellStyle name="_DEM-WP(C) Costs not in AURORA 2007GRC_16.37E Wild Horse Expansion DeferralRevwrkingfile SF 2 2" xfId="6136"/>
    <cellStyle name="_DEM-WP(C) Costs not in AURORA 2007GRC_16.37E Wild Horse Expansion DeferralRevwrkingfile SF 3" xfId="6137"/>
    <cellStyle name="_DEM-WP(C) Costs not in AURORA 2007GRC_2009 GRC Compl Filing - Exhibit D" xfId="1201"/>
    <cellStyle name="_DEM-WP(C) Costs not in AURORA 2007GRC_2009 GRC Compl Filing - Exhibit D 2" xfId="1202"/>
    <cellStyle name="_DEM-WP(C) Costs not in AURORA 2007GRC_Adj Bench DR 3 for Initial Briefs (Electric)" xfId="1203"/>
    <cellStyle name="_DEM-WP(C) Costs not in AURORA 2007GRC_Adj Bench DR 3 for Initial Briefs (Electric) 2" xfId="1204"/>
    <cellStyle name="_DEM-WP(C) Costs not in AURORA 2007GRC_Adj Bench DR 3 for Initial Briefs (Electric) 2 2" xfId="6138"/>
    <cellStyle name="_DEM-WP(C) Costs not in AURORA 2007GRC_Adj Bench DR 3 for Initial Briefs (Electric) 3" xfId="6139"/>
    <cellStyle name="_DEM-WP(C) Costs not in AURORA 2007GRC_Book2" xfId="1205"/>
    <cellStyle name="_DEM-WP(C) Costs not in AURORA 2007GRC_Book2 2" xfId="1206"/>
    <cellStyle name="_DEM-WP(C) Costs not in AURORA 2007GRC_Book2 2 2" xfId="6140"/>
    <cellStyle name="_DEM-WP(C) Costs not in AURORA 2007GRC_Book2 3" xfId="6141"/>
    <cellStyle name="_DEM-WP(C) Costs not in AURORA 2007GRC_Book4" xfId="1207"/>
    <cellStyle name="_DEM-WP(C) Costs not in AURORA 2007GRC_Book4 2" xfId="1208"/>
    <cellStyle name="_DEM-WP(C) Costs not in AURORA 2007GRC_Book4 2 2" xfId="6142"/>
    <cellStyle name="_DEM-WP(C) Costs not in AURORA 2007GRC_Book4 3" xfId="6143"/>
    <cellStyle name="_DEM-WP(C) Costs not in AURORA 2007GRC_Electric Rev Req Model (2009 GRC) " xfId="1209"/>
    <cellStyle name="_DEM-WP(C) Costs not in AURORA 2007GRC_Electric Rev Req Model (2009 GRC)  2" xfId="1210"/>
    <cellStyle name="_DEM-WP(C) Costs not in AURORA 2007GRC_Electric Rev Req Model (2009 GRC)  2 2" xfId="6144"/>
    <cellStyle name="_DEM-WP(C) Costs not in AURORA 2007GRC_Electric Rev Req Model (2009 GRC)  3" xfId="6145"/>
    <cellStyle name="_DEM-WP(C) Costs not in AURORA 2007GRC_Electric Rev Req Model (2009 GRC) Rebuttal" xfId="1211"/>
    <cellStyle name="_DEM-WP(C) Costs not in AURORA 2007GRC_Electric Rev Req Model (2009 GRC) Rebuttal 2" xfId="3866"/>
    <cellStyle name="_DEM-WP(C) Costs not in AURORA 2007GRC_Electric Rev Req Model (2009 GRC) Rebuttal 2 2" xfId="6146"/>
    <cellStyle name="_DEM-WP(C) Costs not in AURORA 2007GRC_Electric Rev Req Model (2009 GRC) Rebuttal 3" xfId="6147"/>
    <cellStyle name="_DEM-WP(C) Costs not in AURORA 2007GRC_Electric Rev Req Model (2009 GRC) Rebuttal REmoval of New  WH Solar AdjustMI" xfId="1212"/>
    <cellStyle name="_DEM-WP(C) Costs not in AURORA 2007GRC_Electric Rev Req Model (2009 GRC) Rebuttal REmoval of New  WH Solar AdjustMI 2" xfId="1213"/>
    <cellStyle name="_DEM-WP(C) Costs not in AURORA 2007GRC_Electric Rev Req Model (2009 GRC) Rebuttal REmoval of New  WH Solar AdjustMI 2 2" xfId="6148"/>
    <cellStyle name="_DEM-WP(C) Costs not in AURORA 2007GRC_Electric Rev Req Model (2009 GRC) Rebuttal REmoval of New  WH Solar AdjustMI 3" xfId="6149"/>
    <cellStyle name="_DEM-WP(C) Costs not in AURORA 2007GRC_Electric Rev Req Model (2009 GRC) Revised 01-18-2010" xfId="1214"/>
    <cellStyle name="_DEM-WP(C) Costs not in AURORA 2007GRC_Electric Rev Req Model (2009 GRC) Revised 01-18-2010 2" xfId="1215"/>
    <cellStyle name="_DEM-WP(C) Costs not in AURORA 2007GRC_Electric Rev Req Model (2009 GRC) Revised 01-18-2010 2 2" xfId="6150"/>
    <cellStyle name="_DEM-WP(C) Costs not in AURORA 2007GRC_Electric Rev Req Model (2009 GRC) Revised 01-18-2010 3" xfId="6151"/>
    <cellStyle name="_DEM-WP(C) Costs not in AURORA 2007GRC_Final Order Electric EXHIBIT A-1" xfId="1216"/>
    <cellStyle name="_DEM-WP(C) Costs not in AURORA 2007GRC_Final Order Electric EXHIBIT A-1 2" xfId="3867"/>
    <cellStyle name="_DEM-WP(C) Costs not in AURORA 2007GRC_Final Order Electric EXHIBIT A-1 2 2" xfId="6152"/>
    <cellStyle name="_DEM-WP(C) Costs not in AURORA 2007GRC_Final Order Electric EXHIBIT A-1 3" xfId="6153"/>
    <cellStyle name="_DEM-WP(C) Costs not in AURORA 2007GRC_NIM Summary" xfId="1217"/>
    <cellStyle name="_DEM-WP(C) Costs not in AURORA 2007GRC_NIM Summary 2" xfId="1218"/>
    <cellStyle name="_DEM-WP(C) Costs not in AURORA 2007GRC_Power Costs - Comparison bx Rbtl-Staff-Jt-PC" xfId="1219"/>
    <cellStyle name="_DEM-WP(C) Costs not in AURORA 2007GRC_Power Costs - Comparison bx Rbtl-Staff-Jt-PC 2" xfId="1220"/>
    <cellStyle name="_DEM-WP(C) Costs not in AURORA 2007GRC_Power Costs - Comparison bx Rbtl-Staff-Jt-PC 2 2" xfId="6154"/>
    <cellStyle name="_DEM-WP(C) Costs not in AURORA 2007GRC_Power Costs - Comparison bx Rbtl-Staff-Jt-PC 3" xfId="6155"/>
    <cellStyle name="_DEM-WP(C) Costs not in AURORA 2007GRC_Rebuttal Power Costs" xfId="1221"/>
    <cellStyle name="_DEM-WP(C) Costs not in AURORA 2007GRC_Rebuttal Power Costs 2" xfId="1222"/>
    <cellStyle name="_DEM-WP(C) Costs not in AURORA 2007GRC_Rebuttal Power Costs 2 2" xfId="6156"/>
    <cellStyle name="_DEM-WP(C) Costs not in AURORA 2007GRC_Rebuttal Power Costs 3" xfId="6157"/>
    <cellStyle name="_DEM-WP(C) Costs not in AURORA 2007GRC_TENASKA REGULATORY ASSET" xfId="1223"/>
    <cellStyle name="_DEM-WP(C) Costs not in AURORA 2007GRC_TENASKA REGULATORY ASSET 2" xfId="3868"/>
    <cellStyle name="_DEM-WP(C) Costs not in AURORA 2007GRC_TENASKA REGULATORY ASSET 2 2" xfId="6158"/>
    <cellStyle name="_DEM-WP(C) Costs not in AURORA 2007GRC_TENASKA REGULATORY ASSET 3" xfId="6159"/>
    <cellStyle name="_DEM-WP(C) Costs not in AURORA 2007PCORC" xfId="1224"/>
    <cellStyle name="_DEM-WP(C) Costs not in AURORA 2007PCORC 2" xfId="1225"/>
    <cellStyle name="_DEM-WP(C) Costs not in AURORA 2007PCORC_NIM Summary" xfId="1226"/>
    <cellStyle name="_DEM-WP(C) Costs not in AURORA 2007PCORC_NIM Summary 2" xfId="1227"/>
    <cellStyle name="_DEM-WP(C) Costs not in AURORA 2007PCORC-5.07Update" xfId="1228"/>
    <cellStyle name="_DEM-WP(C) Costs not in AURORA 2007PCORC-5.07Update 2" xfId="1229"/>
    <cellStyle name="_DEM-WP(C) Costs not in AURORA 2007PCORC-5.07Update 2 2" xfId="6160"/>
    <cellStyle name="_DEM-WP(C) Costs not in AURORA 2007PCORC-5.07Update 3" xfId="6161"/>
    <cellStyle name="_DEM-WP(C) Costs not in AURORA 2007PCORC-5.07Update_16.37E Wild Horse Expansion DeferralRevwrkingfile SF" xfId="1230"/>
    <cellStyle name="_DEM-WP(C) Costs not in AURORA 2007PCORC-5.07Update_16.37E Wild Horse Expansion DeferralRevwrkingfile SF 2" xfId="1231"/>
    <cellStyle name="_DEM-WP(C) Costs not in AURORA 2007PCORC-5.07Update_16.37E Wild Horse Expansion DeferralRevwrkingfile SF 2 2" xfId="6162"/>
    <cellStyle name="_DEM-WP(C) Costs not in AURORA 2007PCORC-5.07Update_16.37E Wild Horse Expansion DeferralRevwrkingfile SF 3" xfId="6163"/>
    <cellStyle name="_DEM-WP(C) Costs not in AURORA 2007PCORC-5.07Update_2009 GRC Compl Filing - Exhibit D" xfId="1232"/>
    <cellStyle name="_DEM-WP(C) Costs not in AURORA 2007PCORC-5.07Update_2009 GRC Compl Filing - Exhibit D 2" xfId="1233"/>
    <cellStyle name="_DEM-WP(C) Costs not in AURORA 2007PCORC-5.07Update_Adj Bench DR 3 for Initial Briefs (Electric)" xfId="1234"/>
    <cellStyle name="_DEM-WP(C) Costs not in AURORA 2007PCORC-5.07Update_Adj Bench DR 3 for Initial Briefs (Electric) 2" xfId="1235"/>
    <cellStyle name="_DEM-WP(C) Costs not in AURORA 2007PCORC-5.07Update_Adj Bench DR 3 for Initial Briefs (Electric) 2 2" xfId="6164"/>
    <cellStyle name="_DEM-WP(C) Costs not in AURORA 2007PCORC-5.07Update_Adj Bench DR 3 for Initial Briefs (Electric) 3" xfId="6165"/>
    <cellStyle name="_DEM-WP(C) Costs not in AURORA 2007PCORC-5.07Update_Book2" xfId="1236"/>
    <cellStyle name="_DEM-WP(C) Costs not in AURORA 2007PCORC-5.07Update_Book2 2" xfId="1237"/>
    <cellStyle name="_DEM-WP(C) Costs not in AURORA 2007PCORC-5.07Update_Book2 2 2" xfId="6166"/>
    <cellStyle name="_DEM-WP(C) Costs not in AURORA 2007PCORC-5.07Update_Book2 3" xfId="6167"/>
    <cellStyle name="_DEM-WP(C) Costs not in AURORA 2007PCORC-5.07Update_Book4" xfId="1238"/>
    <cellStyle name="_DEM-WP(C) Costs not in AURORA 2007PCORC-5.07Update_Book4 2" xfId="1239"/>
    <cellStyle name="_DEM-WP(C) Costs not in AURORA 2007PCORC-5.07Update_Book4 2 2" xfId="6168"/>
    <cellStyle name="_DEM-WP(C) Costs not in AURORA 2007PCORC-5.07Update_Book4 3" xfId="6169"/>
    <cellStyle name="_DEM-WP(C) Costs not in AURORA 2007PCORC-5.07Update_DEM-WP(C) Production O&amp;M 2009GRC Rebuttal" xfId="1240"/>
    <cellStyle name="_DEM-WP(C) Costs not in AURORA 2007PCORC-5.07Update_DEM-WP(C) Production O&amp;M 2009GRC Rebuttal 2" xfId="1241"/>
    <cellStyle name="_DEM-WP(C) Costs not in AURORA 2007PCORC-5.07Update_DEM-WP(C) Production O&amp;M 2009GRC Rebuttal 2 2" xfId="6170"/>
    <cellStyle name="_DEM-WP(C) Costs not in AURORA 2007PCORC-5.07Update_DEM-WP(C) Production O&amp;M 2009GRC Rebuttal 3" xfId="6171"/>
    <cellStyle name="_DEM-WP(C) Costs not in AURORA 2007PCORC-5.07Update_DEM-WP(C) Production O&amp;M 2009GRC Rebuttal_Adj Bench DR 3 for Initial Briefs (Electric)" xfId="1242"/>
    <cellStyle name="_DEM-WP(C) Costs not in AURORA 2007PCORC-5.07Update_DEM-WP(C) Production O&amp;M 2009GRC Rebuttal_Adj Bench DR 3 for Initial Briefs (Electric) 2" xfId="1243"/>
    <cellStyle name="_DEM-WP(C) Costs not in AURORA 2007PCORC-5.07Update_DEM-WP(C) Production O&amp;M 2009GRC Rebuttal_Adj Bench DR 3 for Initial Briefs (Electric) 2 2" xfId="6172"/>
    <cellStyle name="_DEM-WP(C) Costs not in AURORA 2007PCORC-5.07Update_DEM-WP(C) Production O&amp;M 2009GRC Rebuttal_Adj Bench DR 3 for Initial Briefs (Electric) 3" xfId="6173"/>
    <cellStyle name="_DEM-WP(C) Costs not in AURORA 2007PCORC-5.07Update_DEM-WP(C) Production O&amp;M 2009GRC Rebuttal_Book2" xfId="1244"/>
    <cellStyle name="_DEM-WP(C) Costs not in AURORA 2007PCORC-5.07Update_DEM-WP(C) Production O&amp;M 2009GRC Rebuttal_Book2 2" xfId="1245"/>
    <cellStyle name="_DEM-WP(C) Costs not in AURORA 2007PCORC-5.07Update_DEM-WP(C) Production O&amp;M 2009GRC Rebuttal_Book2 2 2" xfId="6174"/>
    <cellStyle name="_DEM-WP(C) Costs not in AURORA 2007PCORC-5.07Update_DEM-WP(C) Production O&amp;M 2009GRC Rebuttal_Book2 3" xfId="6175"/>
    <cellStyle name="_DEM-WP(C) Costs not in AURORA 2007PCORC-5.07Update_DEM-WP(C) Production O&amp;M 2009GRC Rebuttal_Book2_Adj Bench DR 3 for Initial Briefs (Electric)" xfId="1246"/>
    <cellStyle name="_DEM-WP(C) Costs not in AURORA 2007PCORC-5.07Update_DEM-WP(C) Production O&amp;M 2009GRC Rebuttal_Book2_Adj Bench DR 3 for Initial Briefs (Electric) 2" xfId="1247"/>
    <cellStyle name="_DEM-WP(C) Costs not in AURORA 2007PCORC-5.07Update_DEM-WP(C) Production O&amp;M 2009GRC Rebuttal_Book2_Adj Bench DR 3 for Initial Briefs (Electric) 2 2" xfId="6176"/>
    <cellStyle name="_DEM-WP(C) Costs not in AURORA 2007PCORC-5.07Update_DEM-WP(C) Production O&amp;M 2009GRC Rebuttal_Book2_Adj Bench DR 3 for Initial Briefs (Electric) 3" xfId="6177"/>
    <cellStyle name="_DEM-WP(C) Costs not in AURORA 2007PCORC-5.07Update_DEM-WP(C) Production O&amp;M 2009GRC Rebuttal_Book2_Electric Rev Req Model (2009 GRC) Rebuttal" xfId="1248"/>
    <cellStyle name="_DEM-WP(C) Costs not in AURORA 2007PCORC-5.07Update_DEM-WP(C) Production O&amp;M 2009GRC Rebuttal_Book2_Electric Rev Req Model (2009 GRC) Rebuttal 2" xfId="3869"/>
    <cellStyle name="_DEM-WP(C) Costs not in AURORA 2007PCORC-5.07Update_DEM-WP(C) Production O&amp;M 2009GRC Rebuttal_Book2_Electric Rev Req Model (2009 GRC) Rebuttal 2 2" xfId="6178"/>
    <cellStyle name="_DEM-WP(C) Costs not in AURORA 2007PCORC-5.07Update_DEM-WP(C) Production O&amp;M 2009GRC Rebuttal_Book2_Electric Rev Req Model (2009 GRC) Rebuttal 3" xfId="6179"/>
    <cellStyle name="_DEM-WP(C) Costs not in AURORA 2007PCORC-5.07Update_DEM-WP(C) Production O&amp;M 2009GRC Rebuttal_Book2_Electric Rev Req Model (2009 GRC) Rebuttal REmoval of New  WH Solar AdjustMI" xfId="1249"/>
    <cellStyle name="_DEM-WP(C) Costs not in AURORA 2007PCORC-5.07Update_DEM-WP(C) Production O&amp;M 2009GRC Rebuttal_Book2_Electric Rev Req Model (2009 GRC) Rebuttal REmoval of New  WH Solar AdjustMI 2" xfId="1250"/>
    <cellStyle name="_DEM-WP(C) Costs not in AURORA 2007PCORC-5.07Update_DEM-WP(C) Production O&amp;M 2009GRC Rebuttal_Book2_Electric Rev Req Model (2009 GRC) Rebuttal REmoval of New  WH Solar AdjustMI 2 2" xfId="6180"/>
    <cellStyle name="_DEM-WP(C) Costs not in AURORA 2007PCORC-5.07Update_DEM-WP(C) Production O&amp;M 2009GRC Rebuttal_Book2_Electric Rev Req Model (2009 GRC) Rebuttal REmoval of New  WH Solar AdjustMI 3" xfId="6181"/>
    <cellStyle name="_DEM-WP(C) Costs not in AURORA 2007PCORC-5.07Update_DEM-WP(C) Production O&amp;M 2009GRC Rebuttal_Book2_Electric Rev Req Model (2009 GRC) Revised 01-18-2010" xfId="1251"/>
    <cellStyle name="_DEM-WP(C) Costs not in AURORA 2007PCORC-5.07Update_DEM-WP(C) Production O&amp;M 2009GRC Rebuttal_Book2_Electric Rev Req Model (2009 GRC) Revised 01-18-2010 2" xfId="1252"/>
    <cellStyle name="_DEM-WP(C) Costs not in AURORA 2007PCORC-5.07Update_DEM-WP(C) Production O&amp;M 2009GRC Rebuttal_Book2_Electric Rev Req Model (2009 GRC) Revised 01-18-2010 2 2" xfId="6182"/>
    <cellStyle name="_DEM-WP(C) Costs not in AURORA 2007PCORC-5.07Update_DEM-WP(C) Production O&amp;M 2009GRC Rebuttal_Book2_Electric Rev Req Model (2009 GRC) Revised 01-18-2010 3" xfId="6183"/>
    <cellStyle name="_DEM-WP(C) Costs not in AURORA 2007PCORC-5.07Update_DEM-WP(C) Production O&amp;M 2009GRC Rebuttal_Book2_Final Order Electric EXHIBIT A-1" xfId="1253"/>
    <cellStyle name="_DEM-WP(C) Costs not in AURORA 2007PCORC-5.07Update_DEM-WP(C) Production O&amp;M 2009GRC Rebuttal_Book2_Final Order Electric EXHIBIT A-1 2" xfId="3870"/>
    <cellStyle name="_DEM-WP(C) Costs not in AURORA 2007PCORC-5.07Update_DEM-WP(C) Production O&amp;M 2009GRC Rebuttal_Book2_Final Order Electric EXHIBIT A-1 2 2" xfId="6184"/>
    <cellStyle name="_DEM-WP(C) Costs not in AURORA 2007PCORC-5.07Update_DEM-WP(C) Production O&amp;M 2009GRC Rebuttal_Book2_Final Order Electric EXHIBIT A-1 3" xfId="6185"/>
    <cellStyle name="_DEM-WP(C) Costs not in AURORA 2007PCORC-5.07Update_DEM-WP(C) Production O&amp;M 2009GRC Rebuttal_Electric Rev Req Model (2009 GRC) Rebuttal" xfId="1254"/>
    <cellStyle name="_DEM-WP(C) Costs not in AURORA 2007PCORC-5.07Update_DEM-WP(C) Production O&amp;M 2009GRC Rebuttal_Electric Rev Req Model (2009 GRC) Rebuttal 2" xfId="3871"/>
    <cellStyle name="_DEM-WP(C) Costs not in AURORA 2007PCORC-5.07Update_DEM-WP(C) Production O&amp;M 2009GRC Rebuttal_Electric Rev Req Model (2009 GRC) Rebuttal 2 2" xfId="6186"/>
    <cellStyle name="_DEM-WP(C) Costs not in AURORA 2007PCORC-5.07Update_DEM-WP(C) Production O&amp;M 2009GRC Rebuttal_Electric Rev Req Model (2009 GRC) Rebuttal 3" xfId="6187"/>
    <cellStyle name="_DEM-WP(C) Costs not in AURORA 2007PCORC-5.07Update_DEM-WP(C) Production O&amp;M 2009GRC Rebuttal_Electric Rev Req Model (2009 GRC) Rebuttal REmoval of New  WH Solar AdjustMI" xfId="1255"/>
    <cellStyle name="_DEM-WP(C) Costs not in AURORA 2007PCORC-5.07Update_DEM-WP(C) Production O&amp;M 2009GRC Rebuttal_Electric Rev Req Model (2009 GRC) Rebuttal REmoval of New  WH Solar AdjustMI 2" xfId="1256"/>
    <cellStyle name="_DEM-WP(C) Costs not in AURORA 2007PCORC-5.07Update_DEM-WP(C) Production O&amp;M 2009GRC Rebuttal_Electric Rev Req Model (2009 GRC) Rebuttal REmoval of New  WH Solar AdjustMI 2 2" xfId="6188"/>
    <cellStyle name="_DEM-WP(C) Costs not in AURORA 2007PCORC-5.07Update_DEM-WP(C) Production O&amp;M 2009GRC Rebuttal_Electric Rev Req Model (2009 GRC) Rebuttal REmoval of New  WH Solar AdjustMI 3" xfId="6189"/>
    <cellStyle name="_DEM-WP(C) Costs not in AURORA 2007PCORC-5.07Update_DEM-WP(C) Production O&amp;M 2009GRC Rebuttal_Electric Rev Req Model (2009 GRC) Revised 01-18-2010" xfId="1257"/>
    <cellStyle name="_DEM-WP(C) Costs not in AURORA 2007PCORC-5.07Update_DEM-WP(C) Production O&amp;M 2009GRC Rebuttal_Electric Rev Req Model (2009 GRC) Revised 01-18-2010 2" xfId="1258"/>
    <cellStyle name="_DEM-WP(C) Costs not in AURORA 2007PCORC-5.07Update_DEM-WP(C) Production O&amp;M 2009GRC Rebuttal_Electric Rev Req Model (2009 GRC) Revised 01-18-2010 2 2" xfId="6190"/>
    <cellStyle name="_DEM-WP(C) Costs not in AURORA 2007PCORC-5.07Update_DEM-WP(C) Production O&amp;M 2009GRC Rebuttal_Electric Rev Req Model (2009 GRC) Revised 01-18-2010 3" xfId="6191"/>
    <cellStyle name="_DEM-WP(C) Costs not in AURORA 2007PCORC-5.07Update_DEM-WP(C) Production O&amp;M 2009GRC Rebuttal_Final Order Electric EXHIBIT A-1" xfId="1259"/>
    <cellStyle name="_DEM-WP(C) Costs not in AURORA 2007PCORC-5.07Update_DEM-WP(C) Production O&amp;M 2009GRC Rebuttal_Final Order Electric EXHIBIT A-1 2" xfId="3872"/>
    <cellStyle name="_DEM-WP(C) Costs not in AURORA 2007PCORC-5.07Update_DEM-WP(C) Production O&amp;M 2009GRC Rebuttal_Final Order Electric EXHIBIT A-1 2 2" xfId="6192"/>
    <cellStyle name="_DEM-WP(C) Costs not in AURORA 2007PCORC-5.07Update_DEM-WP(C) Production O&amp;M 2009GRC Rebuttal_Final Order Electric EXHIBIT A-1 3" xfId="6193"/>
    <cellStyle name="_DEM-WP(C) Costs not in AURORA 2007PCORC-5.07Update_DEM-WP(C) Production O&amp;M 2009GRC Rebuttal_Rebuttal Power Costs" xfId="1260"/>
    <cellStyle name="_DEM-WP(C) Costs not in AURORA 2007PCORC-5.07Update_DEM-WP(C) Production O&amp;M 2009GRC Rebuttal_Rebuttal Power Costs 2" xfId="1261"/>
    <cellStyle name="_DEM-WP(C) Costs not in AURORA 2007PCORC-5.07Update_DEM-WP(C) Production O&amp;M 2009GRC Rebuttal_Rebuttal Power Costs 2 2" xfId="6194"/>
    <cellStyle name="_DEM-WP(C) Costs not in AURORA 2007PCORC-5.07Update_DEM-WP(C) Production O&amp;M 2009GRC Rebuttal_Rebuttal Power Costs 3" xfId="6195"/>
    <cellStyle name="_DEM-WP(C) Costs not in AURORA 2007PCORC-5.07Update_DEM-WP(C) Production O&amp;M 2009GRC Rebuttal_Rebuttal Power Costs_Adj Bench DR 3 for Initial Briefs (Electric)" xfId="1262"/>
    <cellStyle name="_DEM-WP(C) Costs not in AURORA 2007PCORC-5.07Update_DEM-WP(C) Production O&amp;M 2009GRC Rebuttal_Rebuttal Power Costs_Adj Bench DR 3 for Initial Briefs (Electric) 2" xfId="1263"/>
    <cellStyle name="_DEM-WP(C) Costs not in AURORA 2007PCORC-5.07Update_DEM-WP(C) Production O&amp;M 2009GRC Rebuttal_Rebuttal Power Costs_Adj Bench DR 3 for Initial Briefs (Electric) 2 2" xfId="6196"/>
    <cellStyle name="_DEM-WP(C) Costs not in AURORA 2007PCORC-5.07Update_DEM-WP(C) Production O&amp;M 2009GRC Rebuttal_Rebuttal Power Costs_Adj Bench DR 3 for Initial Briefs (Electric) 3" xfId="6197"/>
    <cellStyle name="_DEM-WP(C) Costs not in AURORA 2007PCORC-5.07Update_DEM-WP(C) Production O&amp;M 2009GRC Rebuttal_Rebuttal Power Costs_Electric Rev Req Model (2009 GRC) Rebuttal" xfId="1264"/>
    <cellStyle name="_DEM-WP(C) Costs not in AURORA 2007PCORC-5.07Update_DEM-WP(C) Production O&amp;M 2009GRC Rebuttal_Rebuttal Power Costs_Electric Rev Req Model (2009 GRC) Rebuttal 2" xfId="3873"/>
    <cellStyle name="_DEM-WP(C) Costs not in AURORA 2007PCORC-5.07Update_DEM-WP(C) Production O&amp;M 2009GRC Rebuttal_Rebuttal Power Costs_Electric Rev Req Model (2009 GRC) Rebuttal 2 2" xfId="6198"/>
    <cellStyle name="_DEM-WP(C) Costs not in AURORA 2007PCORC-5.07Update_DEM-WP(C) Production O&amp;M 2009GRC Rebuttal_Rebuttal Power Costs_Electric Rev Req Model (2009 GRC) Rebuttal 3" xfId="6199"/>
    <cellStyle name="_DEM-WP(C) Costs not in AURORA 2007PCORC-5.07Update_DEM-WP(C) Production O&amp;M 2009GRC Rebuttal_Rebuttal Power Costs_Electric Rev Req Model (2009 GRC) Rebuttal REmoval of New  WH Solar AdjustMI" xfId="1265"/>
    <cellStyle name="_DEM-WP(C) Costs not in AURORA 2007PCORC-5.07Update_DEM-WP(C) Production O&amp;M 2009GRC Rebuttal_Rebuttal Power Costs_Electric Rev Req Model (2009 GRC) Rebuttal REmoval of New  WH Solar AdjustMI 2" xfId="1266"/>
    <cellStyle name="_DEM-WP(C) Costs not in AURORA 2007PCORC-5.07Update_DEM-WP(C) Production O&amp;M 2009GRC Rebuttal_Rebuttal Power Costs_Electric Rev Req Model (2009 GRC) Rebuttal REmoval of New  WH Solar AdjustMI 2 2" xfId="6200"/>
    <cellStyle name="_DEM-WP(C) Costs not in AURORA 2007PCORC-5.07Update_DEM-WP(C) Production O&amp;M 2009GRC Rebuttal_Rebuttal Power Costs_Electric Rev Req Model (2009 GRC) Rebuttal REmoval of New  WH Solar AdjustMI 3" xfId="6201"/>
    <cellStyle name="_DEM-WP(C) Costs not in AURORA 2007PCORC-5.07Update_DEM-WP(C) Production O&amp;M 2009GRC Rebuttal_Rebuttal Power Costs_Electric Rev Req Model (2009 GRC) Revised 01-18-2010" xfId="1267"/>
    <cellStyle name="_DEM-WP(C) Costs not in AURORA 2007PCORC-5.07Update_DEM-WP(C) Production O&amp;M 2009GRC Rebuttal_Rebuttal Power Costs_Electric Rev Req Model (2009 GRC) Revised 01-18-2010 2" xfId="1268"/>
    <cellStyle name="_DEM-WP(C) Costs not in AURORA 2007PCORC-5.07Update_DEM-WP(C) Production O&amp;M 2009GRC Rebuttal_Rebuttal Power Costs_Electric Rev Req Model (2009 GRC) Revised 01-18-2010 2 2" xfId="6202"/>
    <cellStyle name="_DEM-WP(C) Costs not in AURORA 2007PCORC-5.07Update_DEM-WP(C) Production O&amp;M 2009GRC Rebuttal_Rebuttal Power Costs_Electric Rev Req Model (2009 GRC) Revised 01-18-2010 3" xfId="6203"/>
    <cellStyle name="_DEM-WP(C) Costs not in AURORA 2007PCORC-5.07Update_DEM-WP(C) Production O&amp;M 2009GRC Rebuttal_Rebuttal Power Costs_Final Order Electric EXHIBIT A-1" xfId="1269"/>
    <cellStyle name="_DEM-WP(C) Costs not in AURORA 2007PCORC-5.07Update_DEM-WP(C) Production O&amp;M 2009GRC Rebuttal_Rebuttal Power Costs_Final Order Electric EXHIBIT A-1 2" xfId="3874"/>
    <cellStyle name="_DEM-WP(C) Costs not in AURORA 2007PCORC-5.07Update_DEM-WP(C) Production O&amp;M 2009GRC Rebuttal_Rebuttal Power Costs_Final Order Electric EXHIBIT A-1 2 2" xfId="6204"/>
    <cellStyle name="_DEM-WP(C) Costs not in AURORA 2007PCORC-5.07Update_DEM-WP(C) Production O&amp;M 2009GRC Rebuttal_Rebuttal Power Costs_Final Order Electric EXHIBIT A-1 3" xfId="6205"/>
    <cellStyle name="_DEM-WP(C) Costs not in AURORA 2007PCORC-5.07Update_Electric Rev Req Model (2009 GRC) " xfId="1270"/>
    <cellStyle name="_DEM-WP(C) Costs not in AURORA 2007PCORC-5.07Update_Electric Rev Req Model (2009 GRC)  2" xfId="1271"/>
    <cellStyle name="_DEM-WP(C) Costs not in AURORA 2007PCORC-5.07Update_Electric Rev Req Model (2009 GRC)  2 2" xfId="6206"/>
    <cellStyle name="_DEM-WP(C) Costs not in AURORA 2007PCORC-5.07Update_Electric Rev Req Model (2009 GRC)  3" xfId="6207"/>
    <cellStyle name="_DEM-WP(C) Costs not in AURORA 2007PCORC-5.07Update_Electric Rev Req Model (2009 GRC) Rebuttal" xfId="1272"/>
    <cellStyle name="_DEM-WP(C) Costs not in AURORA 2007PCORC-5.07Update_Electric Rev Req Model (2009 GRC) Rebuttal 2" xfId="3875"/>
    <cellStyle name="_DEM-WP(C) Costs not in AURORA 2007PCORC-5.07Update_Electric Rev Req Model (2009 GRC) Rebuttal 2 2" xfId="6208"/>
    <cellStyle name="_DEM-WP(C) Costs not in AURORA 2007PCORC-5.07Update_Electric Rev Req Model (2009 GRC) Rebuttal 3" xfId="6209"/>
    <cellStyle name="_DEM-WP(C) Costs not in AURORA 2007PCORC-5.07Update_Electric Rev Req Model (2009 GRC) Rebuttal REmoval of New  WH Solar AdjustMI" xfId="1273"/>
    <cellStyle name="_DEM-WP(C) Costs not in AURORA 2007PCORC-5.07Update_Electric Rev Req Model (2009 GRC) Rebuttal REmoval of New  WH Solar AdjustMI 2" xfId="1274"/>
    <cellStyle name="_DEM-WP(C) Costs not in AURORA 2007PCORC-5.07Update_Electric Rev Req Model (2009 GRC) Rebuttal REmoval of New  WH Solar AdjustMI 2 2" xfId="6210"/>
    <cellStyle name="_DEM-WP(C) Costs not in AURORA 2007PCORC-5.07Update_Electric Rev Req Model (2009 GRC) Rebuttal REmoval of New  WH Solar AdjustMI 3" xfId="6211"/>
    <cellStyle name="_DEM-WP(C) Costs not in AURORA 2007PCORC-5.07Update_Electric Rev Req Model (2009 GRC) Revised 01-18-2010" xfId="1275"/>
    <cellStyle name="_DEM-WP(C) Costs not in AURORA 2007PCORC-5.07Update_Electric Rev Req Model (2009 GRC) Revised 01-18-2010 2" xfId="1276"/>
    <cellStyle name="_DEM-WP(C) Costs not in AURORA 2007PCORC-5.07Update_Electric Rev Req Model (2009 GRC) Revised 01-18-2010 2 2" xfId="6212"/>
    <cellStyle name="_DEM-WP(C) Costs not in AURORA 2007PCORC-5.07Update_Electric Rev Req Model (2009 GRC) Revised 01-18-2010 3" xfId="6213"/>
    <cellStyle name="_DEM-WP(C) Costs not in AURORA 2007PCORC-5.07Update_Final Order Electric EXHIBIT A-1" xfId="1277"/>
    <cellStyle name="_DEM-WP(C) Costs not in AURORA 2007PCORC-5.07Update_Final Order Electric EXHIBIT A-1 2" xfId="3876"/>
    <cellStyle name="_DEM-WP(C) Costs not in AURORA 2007PCORC-5.07Update_Final Order Electric EXHIBIT A-1 2 2" xfId="6214"/>
    <cellStyle name="_DEM-WP(C) Costs not in AURORA 2007PCORC-5.07Update_Final Order Electric EXHIBIT A-1 3" xfId="6215"/>
    <cellStyle name="_DEM-WP(C) Costs not in AURORA 2007PCORC-5.07Update_NIM Summary" xfId="1278"/>
    <cellStyle name="_DEM-WP(C) Costs not in AURORA 2007PCORC-5.07Update_NIM Summary 09GRC" xfId="1279"/>
    <cellStyle name="_DEM-WP(C) Costs not in AURORA 2007PCORC-5.07Update_NIM Summary 09GRC 2" xfId="1280"/>
    <cellStyle name="_DEM-WP(C) Costs not in AURORA 2007PCORC-5.07Update_NIM Summary 09GRC_NIM Summary" xfId="1281"/>
    <cellStyle name="_DEM-WP(C) Costs not in AURORA 2007PCORC-5.07Update_NIM Summary 09GRC_NIM Summary 2" xfId="1282"/>
    <cellStyle name="_DEM-WP(C) Costs not in AURORA 2007PCORC-5.07Update_NIM Summary 2" xfId="1283"/>
    <cellStyle name="_DEM-WP(C) Costs not in AURORA 2007PCORC-5.07Update_NIM Summary 3" xfId="1284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1285"/>
    <cellStyle name="_DEM-WP(C) Costs not in AURORA 2007PCORC-5.07Update_Power Costs - Comparison bx Rbtl-Staff-Jt-PC 2" xfId="1286"/>
    <cellStyle name="_DEM-WP(C) Costs not in AURORA 2007PCORC-5.07Update_Power Costs - Comparison bx Rbtl-Staff-Jt-PC 2 2" xfId="6216"/>
    <cellStyle name="_DEM-WP(C) Costs not in AURORA 2007PCORC-5.07Update_Power Costs - Comparison bx Rbtl-Staff-Jt-PC 3" xfId="6217"/>
    <cellStyle name="_DEM-WP(C) Costs not in AURORA 2007PCORC-5.07Update_Rebuttal Power Costs" xfId="1287"/>
    <cellStyle name="_DEM-WP(C) Costs not in AURORA 2007PCORC-5.07Update_Rebuttal Power Costs 2" xfId="1288"/>
    <cellStyle name="_DEM-WP(C) Costs not in AURORA 2007PCORC-5.07Update_Rebuttal Power Costs 2 2" xfId="6218"/>
    <cellStyle name="_DEM-WP(C) Costs not in AURORA 2007PCORC-5.07Update_Rebuttal Power Costs 3" xfId="6219"/>
    <cellStyle name="_DEM-WP(C) Costs not in AURORA 2007PCORC-5.07Update_TENASKA REGULATORY ASSET" xfId="1289"/>
    <cellStyle name="_DEM-WP(C) Costs not in AURORA 2007PCORC-5.07Update_TENASKA REGULATORY ASSET 2" xfId="3877"/>
    <cellStyle name="_DEM-WP(C) Costs not in AURORA 2007PCORC-5.07Update_TENASKA REGULATORY ASSET 2 2" xfId="6220"/>
    <cellStyle name="_DEM-WP(C) Costs not in AURORA 2007PCORC-5.07Update_TENASKA REGULATORY ASSET 3" xfId="6221"/>
    <cellStyle name="_DEM-WP(C) Prod O&amp;M 2007GRC" xfId="1290"/>
    <cellStyle name="_DEM-WP(C) Prod O&amp;M 2007GRC 2" xfId="1291"/>
    <cellStyle name="_DEM-WP(C) Prod O&amp;M 2007GRC 2 2" xfId="6222"/>
    <cellStyle name="_DEM-WP(C) Prod O&amp;M 2007GRC 3" xfId="6223"/>
    <cellStyle name="_DEM-WP(C) Prod O&amp;M 2007GRC_Adj Bench DR 3 for Initial Briefs (Electric)" xfId="1292"/>
    <cellStyle name="_DEM-WP(C) Prod O&amp;M 2007GRC_Adj Bench DR 3 for Initial Briefs (Electric) 2" xfId="1293"/>
    <cellStyle name="_DEM-WP(C) Prod O&amp;M 2007GRC_Adj Bench DR 3 for Initial Briefs (Electric) 2 2" xfId="6224"/>
    <cellStyle name="_DEM-WP(C) Prod O&amp;M 2007GRC_Adj Bench DR 3 for Initial Briefs (Electric) 3" xfId="6225"/>
    <cellStyle name="_DEM-WP(C) Prod O&amp;M 2007GRC_Book2" xfId="1294"/>
    <cellStyle name="_DEM-WP(C) Prod O&amp;M 2007GRC_Book2 2" xfId="1295"/>
    <cellStyle name="_DEM-WP(C) Prod O&amp;M 2007GRC_Book2 2 2" xfId="6226"/>
    <cellStyle name="_DEM-WP(C) Prod O&amp;M 2007GRC_Book2 3" xfId="6227"/>
    <cellStyle name="_DEM-WP(C) Prod O&amp;M 2007GRC_Book2_Adj Bench DR 3 for Initial Briefs (Electric)" xfId="1296"/>
    <cellStyle name="_DEM-WP(C) Prod O&amp;M 2007GRC_Book2_Adj Bench DR 3 for Initial Briefs (Electric) 2" xfId="1297"/>
    <cellStyle name="_DEM-WP(C) Prod O&amp;M 2007GRC_Book2_Adj Bench DR 3 for Initial Briefs (Electric) 2 2" xfId="6228"/>
    <cellStyle name="_DEM-WP(C) Prod O&amp;M 2007GRC_Book2_Adj Bench DR 3 for Initial Briefs (Electric) 3" xfId="6229"/>
    <cellStyle name="_DEM-WP(C) Prod O&amp;M 2007GRC_Book2_Electric Rev Req Model (2009 GRC) Rebuttal" xfId="1298"/>
    <cellStyle name="_DEM-WP(C) Prod O&amp;M 2007GRC_Book2_Electric Rev Req Model (2009 GRC) Rebuttal 2" xfId="3878"/>
    <cellStyle name="_DEM-WP(C) Prod O&amp;M 2007GRC_Book2_Electric Rev Req Model (2009 GRC) Rebuttal 2 2" xfId="6230"/>
    <cellStyle name="_DEM-WP(C) Prod O&amp;M 2007GRC_Book2_Electric Rev Req Model (2009 GRC) Rebuttal 3" xfId="6231"/>
    <cellStyle name="_DEM-WP(C) Prod O&amp;M 2007GRC_Book2_Electric Rev Req Model (2009 GRC) Rebuttal REmoval of New  WH Solar AdjustMI" xfId="1299"/>
    <cellStyle name="_DEM-WP(C) Prod O&amp;M 2007GRC_Book2_Electric Rev Req Model (2009 GRC) Rebuttal REmoval of New  WH Solar AdjustMI 2" xfId="1300"/>
    <cellStyle name="_DEM-WP(C) Prod O&amp;M 2007GRC_Book2_Electric Rev Req Model (2009 GRC) Rebuttal REmoval of New  WH Solar AdjustMI 2 2" xfId="6232"/>
    <cellStyle name="_DEM-WP(C) Prod O&amp;M 2007GRC_Book2_Electric Rev Req Model (2009 GRC) Rebuttal REmoval of New  WH Solar AdjustMI 3" xfId="6233"/>
    <cellStyle name="_DEM-WP(C) Prod O&amp;M 2007GRC_Book2_Electric Rev Req Model (2009 GRC) Revised 01-18-2010" xfId="1301"/>
    <cellStyle name="_DEM-WP(C) Prod O&amp;M 2007GRC_Book2_Electric Rev Req Model (2009 GRC) Revised 01-18-2010 2" xfId="1302"/>
    <cellStyle name="_DEM-WP(C) Prod O&amp;M 2007GRC_Book2_Electric Rev Req Model (2009 GRC) Revised 01-18-2010 2 2" xfId="6234"/>
    <cellStyle name="_DEM-WP(C) Prod O&amp;M 2007GRC_Book2_Electric Rev Req Model (2009 GRC) Revised 01-18-2010 3" xfId="6235"/>
    <cellStyle name="_DEM-WP(C) Prod O&amp;M 2007GRC_Book2_Final Order Electric EXHIBIT A-1" xfId="1303"/>
    <cellStyle name="_DEM-WP(C) Prod O&amp;M 2007GRC_Book2_Final Order Electric EXHIBIT A-1 2" xfId="3879"/>
    <cellStyle name="_DEM-WP(C) Prod O&amp;M 2007GRC_Book2_Final Order Electric EXHIBIT A-1 2 2" xfId="6236"/>
    <cellStyle name="_DEM-WP(C) Prod O&amp;M 2007GRC_Book2_Final Order Electric EXHIBIT A-1 3" xfId="6237"/>
    <cellStyle name="_DEM-WP(C) Prod O&amp;M 2007GRC_Electric Rev Req Model (2009 GRC) Rebuttal" xfId="1304"/>
    <cellStyle name="_DEM-WP(C) Prod O&amp;M 2007GRC_Electric Rev Req Model (2009 GRC) Rebuttal 2" xfId="3880"/>
    <cellStyle name="_DEM-WP(C) Prod O&amp;M 2007GRC_Electric Rev Req Model (2009 GRC) Rebuttal 2 2" xfId="6238"/>
    <cellStyle name="_DEM-WP(C) Prod O&amp;M 2007GRC_Electric Rev Req Model (2009 GRC) Rebuttal 3" xfId="6239"/>
    <cellStyle name="_DEM-WP(C) Prod O&amp;M 2007GRC_Electric Rev Req Model (2009 GRC) Rebuttal REmoval of New  WH Solar AdjustMI" xfId="1305"/>
    <cellStyle name="_DEM-WP(C) Prod O&amp;M 2007GRC_Electric Rev Req Model (2009 GRC) Rebuttal REmoval of New  WH Solar AdjustMI 2" xfId="1306"/>
    <cellStyle name="_DEM-WP(C) Prod O&amp;M 2007GRC_Electric Rev Req Model (2009 GRC) Rebuttal REmoval of New  WH Solar AdjustMI 2 2" xfId="6240"/>
    <cellStyle name="_DEM-WP(C) Prod O&amp;M 2007GRC_Electric Rev Req Model (2009 GRC) Rebuttal REmoval of New  WH Solar AdjustMI 3" xfId="6241"/>
    <cellStyle name="_DEM-WP(C) Prod O&amp;M 2007GRC_Electric Rev Req Model (2009 GRC) Revised 01-18-2010" xfId="1307"/>
    <cellStyle name="_DEM-WP(C) Prod O&amp;M 2007GRC_Electric Rev Req Model (2009 GRC) Revised 01-18-2010 2" xfId="1308"/>
    <cellStyle name="_DEM-WP(C) Prod O&amp;M 2007GRC_Electric Rev Req Model (2009 GRC) Revised 01-18-2010 2 2" xfId="6242"/>
    <cellStyle name="_DEM-WP(C) Prod O&amp;M 2007GRC_Electric Rev Req Model (2009 GRC) Revised 01-18-2010 3" xfId="6243"/>
    <cellStyle name="_DEM-WP(C) Prod O&amp;M 2007GRC_Final Order Electric EXHIBIT A-1" xfId="1309"/>
    <cellStyle name="_DEM-WP(C) Prod O&amp;M 2007GRC_Final Order Electric EXHIBIT A-1 2" xfId="3881"/>
    <cellStyle name="_DEM-WP(C) Prod O&amp;M 2007GRC_Final Order Electric EXHIBIT A-1 2 2" xfId="6244"/>
    <cellStyle name="_DEM-WP(C) Prod O&amp;M 2007GRC_Final Order Electric EXHIBIT A-1 3" xfId="6245"/>
    <cellStyle name="_DEM-WP(C) Prod O&amp;M 2007GRC_Rebuttal Power Costs" xfId="1310"/>
    <cellStyle name="_DEM-WP(C) Prod O&amp;M 2007GRC_Rebuttal Power Costs 2" xfId="1311"/>
    <cellStyle name="_DEM-WP(C) Prod O&amp;M 2007GRC_Rebuttal Power Costs 2 2" xfId="6246"/>
    <cellStyle name="_DEM-WP(C) Prod O&amp;M 2007GRC_Rebuttal Power Costs 3" xfId="6247"/>
    <cellStyle name="_DEM-WP(C) Prod O&amp;M 2007GRC_Rebuttal Power Costs_Adj Bench DR 3 for Initial Briefs (Electric)" xfId="1312"/>
    <cellStyle name="_DEM-WP(C) Prod O&amp;M 2007GRC_Rebuttal Power Costs_Adj Bench DR 3 for Initial Briefs (Electric) 2" xfId="1313"/>
    <cellStyle name="_DEM-WP(C) Prod O&amp;M 2007GRC_Rebuttal Power Costs_Adj Bench DR 3 for Initial Briefs (Electric) 2 2" xfId="6248"/>
    <cellStyle name="_DEM-WP(C) Prod O&amp;M 2007GRC_Rebuttal Power Costs_Adj Bench DR 3 for Initial Briefs (Electric) 3" xfId="6249"/>
    <cellStyle name="_DEM-WP(C) Prod O&amp;M 2007GRC_Rebuttal Power Costs_Electric Rev Req Model (2009 GRC) Rebuttal" xfId="1314"/>
    <cellStyle name="_DEM-WP(C) Prod O&amp;M 2007GRC_Rebuttal Power Costs_Electric Rev Req Model (2009 GRC) Rebuttal 2" xfId="3882"/>
    <cellStyle name="_DEM-WP(C) Prod O&amp;M 2007GRC_Rebuttal Power Costs_Electric Rev Req Model (2009 GRC) Rebuttal 2 2" xfId="6250"/>
    <cellStyle name="_DEM-WP(C) Prod O&amp;M 2007GRC_Rebuttal Power Costs_Electric Rev Req Model (2009 GRC) Rebuttal 3" xfId="6251"/>
    <cellStyle name="_DEM-WP(C) Prod O&amp;M 2007GRC_Rebuttal Power Costs_Electric Rev Req Model (2009 GRC) Rebuttal REmoval of New  WH Solar AdjustMI" xfId="1315"/>
    <cellStyle name="_DEM-WP(C) Prod O&amp;M 2007GRC_Rebuttal Power Costs_Electric Rev Req Model (2009 GRC) Rebuttal REmoval of New  WH Solar AdjustMI 2" xfId="1316"/>
    <cellStyle name="_DEM-WP(C) Prod O&amp;M 2007GRC_Rebuttal Power Costs_Electric Rev Req Model (2009 GRC) Rebuttal REmoval of New  WH Solar AdjustMI 2 2" xfId="6252"/>
    <cellStyle name="_DEM-WP(C) Prod O&amp;M 2007GRC_Rebuttal Power Costs_Electric Rev Req Model (2009 GRC) Rebuttal REmoval of New  WH Solar AdjustMI 3" xfId="6253"/>
    <cellStyle name="_DEM-WP(C) Prod O&amp;M 2007GRC_Rebuttal Power Costs_Electric Rev Req Model (2009 GRC) Revised 01-18-2010" xfId="1317"/>
    <cellStyle name="_DEM-WP(C) Prod O&amp;M 2007GRC_Rebuttal Power Costs_Electric Rev Req Model (2009 GRC) Revised 01-18-2010 2" xfId="1318"/>
    <cellStyle name="_DEM-WP(C) Prod O&amp;M 2007GRC_Rebuttal Power Costs_Electric Rev Req Model (2009 GRC) Revised 01-18-2010 2 2" xfId="6254"/>
    <cellStyle name="_DEM-WP(C) Prod O&amp;M 2007GRC_Rebuttal Power Costs_Electric Rev Req Model (2009 GRC) Revised 01-18-2010 3" xfId="6255"/>
    <cellStyle name="_DEM-WP(C) Prod O&amp;M 2007GRC_Rebuttal Power Costs_Final Order Electric EXHIBIT A-1" xfId="1319"/>
    <cellStyle name="_DEM-WP(C) Prod O&amp;M 2007GRC_Rebuttal Power Costs_Final Order Electric EXHIBIT A-1 2" xfId="3883"/>
    <cellStyle name="_DEM-WP(C) Prod O&amp;M 2007GRC_Rebuttal Power Costs_Final Order Electric EXHIBIT A-1 2 2" xfId="6256"/>
    <cellStyle name="_DEM-WP(C) Prod O&amp;M 2007GRC_Rebuttal Power Costs_Final Order Electric EXHIBIT A-1 3" xfId="6257"/>
    <cellStyle name="_DEM-WP(C) Rate Year Sumas by Month Update Corrected" xfId="1320"/>
    <cellStyle name="_DEM-WP(C) Sumas Proforma 11.5.07" xfId="1321"/>
    <cellStyle name="_DEM-WP(C) Westside Hydro Data_051007" xfId="1322"/>
    <cellStyle name="_DEM-WP(C) Westside Hydro Data_051007 2" xfId="1323"/>
    <cellStyle name="_DEM-WP(C) Westside Hydro Data_051007 2 2" xfId="6258"/>
    <cellStyle name="_DEM-WP(C) Westside Hydro Data_051007 3" xfId="6259"/>
    <cellStyle name="_DEM-WP(C) Westside Hydro Data_051007_16.37E Wild Horse Expansion DeferralRevwrkingfile SF" xfId="1324"/>
    <cellStyle name="_DEM-WP(C) Westside Hydro Data_051007_16.37E Wild Horse Expansion DeferralRevwrkingfile SF 2" xfId="1325"/>
    <cellStyle name="_DEM-WP(C) Westside Hydro Data_051007_16.37E Wild Horse Expansion DeferralRevwrkingfile SF 2 2" xfId="6260"/>
    <cellStyle name="_DEM-WP(C) Westside Hydro Data_051007_16.37E Wild Horse Expansion DeferralRevwrkingfile SF 3" xfId="6261"/>
    <cellStyle name="_DEM-WP(C) Westside Hydro Data_051007_2009 GRC Compl Filing - Exhibit D" xfId="1326"/>
    <cellStyle name="_DEM-WP(C) Westside Hydro Data_051007_2009 GRC Compl Filing - Exhibit D 2" xfId="1327"/>
    <cellStyle name="_DEM-WP(C) Westside Hydro Data_051007_Adj Bench DR 3 for Initial Briefs (Electric)" xfId="1328"/>
    <cellStyle name="_DEM-WP(C) Westside Hydro Data_051007_Adj Bench DR 3 for Initial Briefs (Electric) 2" xfId="1329"/>
    <cellStyle name="_DEM-WP(C) Westside Hydro Data_051007_Adj Bench DR 3 for Initial Briefs (Electric) 2 2" xfId="6262"/>
    <cellStyle name="_DEM-WP(C) Westside Hydro Data_051007_Adj Bench DR 3 for Initial Briefs (Electric) 3" xfId="6263"/>
    <cellStyle name="_DEM-WP(C) Westside Hydro Data_051007_Book2" xfId="1330"/>
    <cellStyle name="_DEM-WP(C) Westside Hydro Data_051007_Book2 2" xfId="1331"/>
    <cellStyle name="_DEM-WP(C) Westside Hydro Data_051007_Book2 2 2" xfId="6264"/>
    <cellStyle name="_DEM-WP(C) Westside Hydro Data_051007_Book2 3" xfId="6265"/>
    <cellStyle name="_DEM-WP(C) Westside Hydro Data_051007_Book4" xfId="1332"/>
    <cellStyle name="_DEM-WP(C) Westside Hydro Data_051007_Book4 2" xfId="1333"/>
    <cellStyle name="_DEM-WP(C) Westside Hydro Data_051007_Book4 2 2" xfId="6266"/>
    <cellStyle name="_DEM-WP(C) Westside Hydro Data_051007_Book4 3" xfId="6267"/>
    <cellStyle name="_DEM-WP(C) Westside Hydro Data_051007_Electric Rev Req Model (2009 GRC) " xfId="1334"/>
    <cellStyle name="_DEM-WP(C) Westside Hydro Data_051007_Electric Rev Req Model (2009 GRC)  2" xfId="1335"/>
    <cellStyle name="_DEM-WP(C) Westside Hydro Data_051007_Electric Rev Req Model (2009 GRC)  2 2" xfId="6268"/>
    <cellStyle name="_DEM-WP(C) Westside Hydro Data_051007_Electric Rev Req Model (2009 GRC)  3" xfId="6269"/>
    <cellStyle name="_DEM-WP(C) Westside Hydro Data_051007_Electric Rev Req Model (2009 GRC) Rebuttal" xfId="1336"/>
    <cellStyle name="_DEM-WP(C) Westside Hydro Data_051007_Electric Rev Req Model (2009 GRC) Rebuttal 2" xfId="3884"/>
    <cellStyle name="_DEM-WP(C) Westside Hydro Data_051007_Electric Rev Req Model (2009 GRC) Rebuttal 2 2" xfId="6270"/>
    <cellStyle name="_DEM-WP(C) Westside Hydro Data_051007_Electric Rev Req Model (2009 GRC) Rebuttal 3" xfId="6271"/>
    <cellStyle name="_DEM-WP(C) Westside Hydro Data_051007_Electric Rev Req Model (2009 GRC) Rebuttal REmoval of New  WH Solar AdjustMI" xfId="1337"/>
    <cellStyle name="_DEM-WP(C) Westside Hydro Data_051007_Electric Rev Req Model (2009 GRC) Rebuttal REmoval of New  WH Solar AdjustMI 2" xfId="1338"/>
    <cellStyle name="_DEM-WP(C) Westside Hydro Data_051007_Electric Rev Req Model (2009 GRC) Rebuttal REmoval of New  WH Solar AdjustMI 2 2" xfId="6272"/>
    <cellStyle name="_DEM-WP(C) Westside Hydro Data_051007_Electric Rev Req Model (2009 GRC) Rebuttal REmoval of New  WH Solar AdjustMI 3" xfId="6273"/>
    <cellStyle name="_DEM-WP(C) Westside Hydro Data_051007_Electric Rev Req Model (2009 GRC) Revised 01-18-2010" xfId="1339"/>
    <cellStyle name="_DEM-WP(C) Westside Hydro Data_051007_Electric Rev Req Model (2009 GRC) Revised 01-18-2010 2" xfId="1340"/>
    <cellStyle name="_DEM-WP(C) Westside Hydro Data_051007_Electric Rev Req Model (2009 GRC) Revised 01-18-2010 2 2" xfId="6274"/>
    <cellStyle name="_DEM-WP(C) Westside Hydro Data_051007_Electric Rev Req Model (2009 GRC) Revised 01-18-2010 3" xfId="6275"/>
    <cellStyle name="_DEM-WP(C) Westside Hydro Data_051007_Final Order Electric EXHIBIT A-1" xfId="1341"/>
    <cellStyle name="_DEM-WP(C) Westside Hydro Data_051007_Final Order Electric EXHIBIT A-1 2" xfId="3885"/>
    <cellStyle name="_DEM-WP(C) Westside Hydro Data_051007_Final Order Electric EXHIBIT A-1 2 2" xfId="6276"/>
    <cellStyle name="_DEM-WP(C) Westside Hydro Data_051007_Final Order Electric EXHIBIT A-1 3" xfId="6277"/>
    <cellStyle name="_DEM-WP(C) Westside Hydro Data_051007_NIM Summary" xfId="1342"/>
    <cellStyle name="_DEM-WP(C) Westside Hydro Data_051007_NIM Summary 2" xfId="1343"/>
    <cellStyle name="_DEM-WP(C) Westside Hydro Data_051007_Power Costs - Comparison bx Rbtl-Staff-Jt-PC" xfId="1344"/>
    <cellStyle name="_DEM-WP(C) Westside Hydro Data_051007_Power Costs - Comparison bx Rbtl-Staff-Jt-PC 2" xfId="1345"/>
    <cellStyle name="_DEM-WP(C) Westside Hydro Data_051007_Power Costs - Comparison bx Rbtl-Staff-Jt-PC 2 2" xfId="6278"/>
    <cellStyle name="_DEM-WP(C) Westside Hydro Data_051007_Power Costs - Comparison bx Rbtl-Staff-Jt-PC 3" xfId="6279"/>
    <cellStyle name="_DEM-WP(C) Westside Hydro Data_051007_Rebuttal Power Costs" xfId="1346"/>
    <cellStyle name="_DEM-WP(C) Westside Hydro Data_051007_Rebuttal Power Costs 2" xfId="1347"/>
    <cellStyle name="_DEM-WP(C) Westside Hydro Data_051007_Rebuttal Power Costs 2 2" xfId="6280"/>
    <cellStyle name="_DEM-WP(C) Westside Hydro Data_051007_Rebuttal Power Costs 3" xfId="6281"/>
    <cellStyle name="_DEM-WP(C) Westside Hydro Data_051007_TENASKA REGULATORY ASSET" xfId="1348"/>
    <cellStyle name="_DEM-WP(C) Westside Hydro Data_051007_TENASKA REGULATORY ASSET 2" xfId="3886"/>
    <cellStyle name="_DEM-WP(C) Westside Hydro Data_051007_TENASKA REGULATORY ASSET 2 2" xfId="6282"/>
    <cellStyle name="_DEM-WP(C) Westside Hydro Data_051007_TENASKA REGULATORY ASSET 3" xfId="6283"/>
    <cellStyle name="_Elec Peak Capacity Need_2008-2029_032709_Wind 5% Cap" xfId="1349"/>
    <cellStyle name="_Elec Peak Capacity Need_2008-2029_032709_Wind 5% Cap 2" xfId="1350"/>
    <cellStyle name="_Elec Peak Capacity Need_2008-2029_032709_Wind 5% Cap_NIM Summary" xfId="1351"/>
    <cellStyle name="_Elec Peak Capacity Need_2008-2029_032709_Wind 5% Cap_NIM Summary 2" xfId="1352"/>
    <cellStyle name="_Elec Peak Capacity Need_2008-2029_032709_Wind 5% Cap-ST-Adj-PJP1" xfId="1353"/>
    <cellStyle name="_Elec Peak Capacity Need_2008-2029_032709_Wind 5% Cap-ST-Adj-PJP1 2" xfId="1354"/>
    <cellStyle name="_Elec Peak Capacity Need_2008-2029_032709_Wind 5% Cap-ST-Adj-PJP1_NIM Summary" xfId="1355"/>
    <cellStyle name="_Elec Peak Capacity Need_2008-2029_032709_Wind 5% Cap-ST-Adj-PJP1_NIM Summary 2" xfId="1356"/>
    <cellStyle name="_Elec Peak Capacity Need_2008-2029_120908_Wind 5% Cap_Low" xfId="1357"/>
    <cellStyle name="_Elec Peak Capacity Need_2008-2029_120908_Wind 5% Cap_Low 2" xfId="1358"/>
    <cellStyle name="_Elec Peak Capacity Need_2008-2029_120908_Wind 5% Cap_Low_NIM Summary" xfId="1359"/>
    <cellStyle name="_Elec Peak Capacity Need_2008-2029_120908_Wind 5% Cap_Low_NIM Summary 2" xfId="1360"/>
    <cellStyle name="_Elec Peak Capacity Need_2008-2029_Wind 5% Cap_050809" xfId="1361"/>
    <cellStyle name="_Elec Peak Capacity Need_2008-2029_Wind 5% Cap_050809 2" xfId="1362"/>
    <cellStyle name="_Elec Peak Capacity Need_2008-2029_Wind 5% Cap_050809_NIM Summary" xfId="1363"/>
    <cellStyle name="_Elec Peak Capacity Need_2008-2029_Wind 5% Cap_050809_NIM Summary 2" xfId="1364"/>
    <cellStyle name="_x0013__Electric Rev Req Model (2009 GRC) " xfId="1365"/>
    <cellStyle name="_x0013__Electric Rev Req Model (2009 GRC)  2" xfId="1366"/>
    <cellStyle name="_x0013__Electric Rev Req Model (2009 GRC)  2 2" xfId="6284"/>
    <cellStyle name="_x0013__Electric Rev Req Model (2009 GRC)  3" xfId="6285"/>
    <cellStyle name="_x0013__Electric Rev Req Model (2009 GRC) Rebuttal" xfId="1367"/>
    <cellStyle name="_x0013__Electric Rev Req Model (2009 GRC) Rebuttal 2" xfId="3887"/>
    <cellStyle name="_x0013__Electric Rev Req Model (2009 GRC) Rebuttal 2 2" xfId="6286"/>
    <cellStyle name="_x0013__Electric Rev Req Model (2009 GRC) Rebuttal 3" xfId="6287"/>
    <cellStyle name="_x0013__Electric Rev Req Model (2009 GRC) Rebuttal REmoval of New  WH Solar AdjustMI" xfId="1368"/>
    <cellStyle name="_x0013__Electric Rev Req Model (2009 GRC) Rebuttal REmoval of New  WH Solar AdjustMI 2" xfId="1369"/>
    <cellStyle name="_x0013__Electric Rev Req Model (2009 GRC) Rebuttal REmoval of New  WH Solar AdjustMI 2 2" xfId="6288"/>
    <cellStyle name="_x0013__Electric Rev Req Model (2009 GRC) Rebuttal REmoval of New  WH Solar AdjustMI 3" xfId="6289"/>
    <cellStyle name="_x0013__Electric Rev Req Model (2009 GRC) Revised 01-18-2010" xfId="1370"/>
    <cellStyle name="_x0013__Electric Rev Req Model (2009 GRC) Revised 01-18-2010 2" xfId="1371"/>
    <cellStyle name="_x0013__Electric Rev Req Model (2009 GRC) Revised 01-18-2010 2 2" xfId="6290"/>
    <cellStyle name="_x0013__Electric Rev Req Model (2009 GRC) Revised 01-18-2010 3" xfId="6291"/>
    <cellStyle name="_ENCOGEN_WBOOK" xfId="1372"/>
    <cellStyle name="_ENCOGEN_WBOOK 2" xfId="1373"/>
    <cellStyle name="_ENCOGEN_WBOOK_NIM Summary" xfId="1374"/>
    <cellStyle name="_ENCOGEN_WBOOK_NIM Summary 2" xfId="1375"/>
    <cellStyle name="_x0013__Final Order Electric EXHIBIT A-1" xfId="1376"/>
    <cellStyle name="_x0013__Final Order Electric EXHIBIT A-1 2" xfId="3888"/>
    <cellStyle name="_x0013__Final Order Electric EXHIBIT A-1 2 2" xfId="6292"/>
    <cellStyle name="_x0013__Final Order Electric EXHIBIT A-1 3" xfId="6293"/>
    <cellStyle name="_Fixed Gas Transport 1 19 09" xfId="1377"/>
    <cellStyle name="_Fixed Gas Transport 1 19 09 2" xfId="1378"/>
    <cellStyle name="_Fixed Gas Transport 1 19 09 2 2" xfId="6294"/>
    <cellStyle name="_Fixed Gas Transport 1 19 09 3" xfId="6295"/>
    <cellStyle name="_Fuel Prices 4-14" xfId="1379"/>
    <cellStyle name="_Fuel Prices 4-14 2" xfId="1380"/>
    <cellStyle name="_Fuel Prices 4-14 2 2" xfId="1381"/>
    <cellStyle name="_Fuel Prices 4-14 2 2 2" xfId="6296"/>
    <cellStyle name="_Fuel Prices 4-14 2 3" xfId="6297"/>
    <cellStyle name="_Fuel Prices 4-14 3" xfId="1382"/>
    <cellStyle name="_Fuel Prices 4-14 3 2" xfId="6298"/>
    <cellStyle name="_Fuel Prices 4-14 4" xfId="1383"/>
    <cellStyle name="_Fuel Prices 4-14 4 2" xfId="3358"/>
    <cellStyle name="_Fuel Prices 4-14_04 07E Wild Horse Wind Expansion (C) (2)" xfId="1384"/>
    <cellStyle name="_Fuel Prices 4-14_04 07E Wild Horse Wind Expansion (C) (2) 2" xfId="1385"/>
    <cellStyle name="_Fuel Prices 4-14_04 07E Wild Horse Wind Expansion (C) (2) 2 2" xfId="6299"/>
    <cellStyle name="_Fuel Prices 4-14_04 07E Wild Horse Wind Expansion (C) (2) 3" xfId="6300"/>
    <cellStyle name="_Fuel Prices 4-14_04 07E Wild Horse Wind Expansion (C) (2)_Adj Bench DR 3 for Initial Briefs (Electric)" xfId="1386"/>
    <cellStyle name="_Fuel Prices 4-14_04 07E Wild Horse Wind Expansion (C) (2)_Adj Bench DR 3 for Initial Briefs (Electric) 2" xfId="1387"/>
    <cellStyle name="_Fuel Prices 4-14_04 07E Wild Horse Wind Expansion (C) (2)_Adj Bench DR 3 for Initial Briefs (Electric) 2 2" xfId="6301"/>
    <cellStyle name="_Fuel Prices 4-14_04 07E Wild Horse Wind Expansion (C) (2)_Adj Bench DR 3 for Initial Briefs (Electric) 3" xfId="6302"/>
    <cellStyle name="_Fuel Prices 4-14_04 07E Wild Horse Wind Expansion (C) (2)_Electric Rev Req Model (2009 GRC) " xfId="1388"/>
    <cellStyle name="_Fuel Prices 4-14_04 07E Wild Horse Wind Expansion (C) (2)_Electric Rev Req Model (2009 GRC)  2" xfId="1389"/>
    <cellStyle name="_Fuel Prices 4-14_04 07E Wild Horse Wind Expansion (C) (2)_Electric Rev Req Model (2009 GRC)  2 2" xfId="6303"/>
    <cellStyle name="_Fuel Prices 4-14_04 07E Wild Horse Wind Expansion (C) (2)_Electric Rev Req Model (2009 GRC)  3" xfId="6304"/>
    <cellStyle name="_Fuel Prices 4-14_04 07E Wild Horse Wind Expansion (C) (2)_Electric Rev Req Model (2009 GRC) Rebuttal" xfId="1390"/>
    <cellStyle name="_Fuel Prices 4-14_04 07E Wild Horse Wind Expansion (C) (2)_Electric Rev Req Model (2009 GRC) Rebuttal 2" xfId="3889"/>
    <cellStyle name="_Fuel Prices 4-14_04 07E Wild Horse Wind Expansion (C) (2)_Electric Rev Req Model (2009 GRC) Rebuttal 2 2" xfId="6305"/>
    <cellStyle name="_Fuel Prices 4-14_04 07E Wild Horse Wind Expansion (C) (2)_Electric Rev Req Model (2009 GRC) Rebuttal 3" xfId="6306"/>
    <cellStyle name="_Fuel Prices 4-14_04 07E Wild Horse Wind Expansion (C) (2)_Electric Rev Req Model (2009 GRC) Rebuttal REmoval of New  WH Solar AdjustMI" xfId="1391"/>
    <cellStyle name="_Fuel Prices 4-14_04 07E Wild Horse Wind Expansion (C) (2)_Electric Rev Req Model (2009 GRC) Rebuttal REmoval of New  WH Solar AdjustMI 2" xfId="1392"/>
    <cellStyle name="_Fuel Prices 4-14_04 07E Wild Horse Wind Expansion (C) (2)_Electric Rev Req Model (2009 GRC) Rebuttal REmoval of New  WH Solar AdjustMI 2 2" xfId="6307"/>
    <cellStyle name="_Fuel Prices 4-14_04 07E Wild Horse Wind Expansion (C) (2)_Electric Rev Req Model (2009 GRC) Rebuttal REmoval of New  WH Solar AdjustMI 3" xfId="6308"/>
    <cellStyle name="_Fuel Prices 4-14_04 07E Wild Horse Wind Expansion (C) (2)_Electric Rev Req Model (2009 GRC) Revised 01-18-2010" xfId="1393"/>
    <cellStyle name="_Fuel Prices 4-14_04 07E Wild Horse Wind Expansion (C) (2)_Electric Rev Req Model (2009 GRC) Revised 01-18-2010 2" xfId="1394"/>
    <cellStyle name="_Fuel Prices 4-14_04 07E Wild Horse Wind Expansion (C) (2)_Electric Rev Req Model (2009 GRC) Revised 01-18-2010 2 2" xfId="6309"/>
    <cellStyle name="_Fuel Prices 4-14_04 07E Wild Horse Wind Expansion (C) (2)_Electric Rev Req Model (2009 GRC) Revised 01-18-2010 3" xfId="6310"/>
    <cellStyle name="_Fuel Prices 4-14_04 07E Wild Horse Wind Expansion (C) (2)_Final Order Electric EXHIBIT A-1" xfId="1395"/>
    <cellStyle name="_Fuel Prices 4-14_04 07E Wild Horse Wind Expansion (C) (2)_Final Order Electric EXHIBIT A-1 2" xfId="3890"/>
    <cellStyle name="_Fuel Prices 4-14_04 07E Wild Horse Wind Expansion (C) (2)_Final Order Electric EXHIBIT A-1 2 2" xfId="6311"/>
    <cellStyle name="_Fuel Prices 4-14_04 07E Wild Horse Wind Expansion (C) (2)_Final Order Electric EXHIBIT A-1 3" xfId="6312"/>
    <cellStyle name="_Fuel Prices 4-14_04 07E Wild Horse Wind Expansion (C) (2)_TENASKA REGULATORY ASSET" xfId="1396"/>
    <cellStyle name="_Fuel Prices 4-14_04 07E Wild Horse Wind Expansion (C) (2)_TENASKA REGULATORY ASSET 2" xfId="3891"/>
    <cellStyle name="_Fuel Prices 4-14_04 07E Wild Horse Wind Expansion (C) (2)_TENASKA REGULATORY ASSET 2 2" xfId="6313"/>
    <cellStyle name="_Fuel Prices 4-14_04 07E Wild Horse Wind Expansion (C) (2)_TENASKA REGULATORY ASSET 3" xfId="6314"/>
    <cellStyle name="_Fuel Prices 4-14_16.37E Wild Horse Expansion DeferralRevwrkingfile SF" xfId="1397"/>
    <cellStyle name="_Fuel Prices 4-14_16.37E Wild Horse Expansion DeferralRevwrkingfile SF 2" xfId="1398"/>
    <cellStyle name="_Fuel Prices 4-14_16.37E Wild Horse Expansion DeferralRevwrkingfile SF 2 2" xfId="6315"/>
    <cellStyle name="_Fuel Prices 4-14_16.37E Wild Horse Expansion DeferralRevwrkingfile SF 3" xfId="6316"/>
    <cellStyle name="_Fuel Prices 4-14_2009 GRC Compl Filing - Exhibit D" xfId="1399"/>
    <cellStyle name="_Fuel Prices 4-14_2009 GRC Compl Filing - Exhibit D 2" xfId="1400"/>
    <cellStyle name="_Fuel Prices 4-14_4 31 Regulatory Assets and Liabilities  7 06- Exhibit D" xfId="1401"/>
    <cellStyle name="_Fuel Prices 4-14_4 31 Regulatory Assets and Liabilities  7 06- Exhibit D 2" xfId="1402"/>
    <cellStyle name="_Fuel Prices 4-14_4 31 Regulatory Assets and Liabilities  7 06- Exhibit D 2 2" xfId="6317"/>
    <cellStyle name="_Fuel Prices 4-14_4 31 Regulatory Assets and Liabilities  7 06- Exhibit D 3" xfId="6318"/>
    <cellStyle name="_Fuel Prices 4-14_4 31 Regulatory Assets and Liabilities  7 06- Exhibit D_NIM Summary" xfId="1403"/>
    <cellStyle name="_Fuel Prices 4-14_4 31 Regulatory Assets and Liabilities  7 06- Exhibit D_NIM Summary 2" xfId="1404"/>
    <cellStyle name="_Fuel Prices 4-14_4 32 Regulatory Assets and Liabilities  7 06- Exhibit D" xfId="1405"/>
    <cellStyle name="_Fuel Prices 4-14_4 32 Regulatory Assets and Liabilities  7 06- Exhibit D 2" xfId="1406"/>
    <cellStyle name="_Fuel Prices 4-14_4 32 Regulatory Assets and Liabilities  7 06- Exhibit D 2 2" xfId="6319"/>
    <cellStyle name="_Fuel Prices 4-14_4 32 Regulatory Assets and Liabilities  7 06- Exhibit D 3" xfId="6320"/>
    <cellStyle name="_Fuel Prices 4-14_4 32 Regulatory Assets and Liabilities  7 06- Exhibit D_NIM Summary" xfId="1407"/>
    <cellStyle name="_Fuel Prices 4-14_4 32 Regulatory Assets and Liabilities  7 06- Exhibit D_NIM Summary 2" xfId="1408"/>
    <cellStyle name="_Fuel Prices 4-14_AURORA Total New" xfId="1409"/>
    <cellStyle name="_Fuel Prices 4-14_AURORA Total New 2" xfId="1410"/>
    <cellStyle name="_Fuel Prices 4-14_Book2" xfId="1411"/>
    <cellStyle name="_Fuel Prices 4-14_Book2 2" xfId="1412"/>
    <cellStyle name="_Fuel Prices 4-14_Book2 2 2" xfId="6321"/>
    <cellStyle name="_Fuel Prices 4-14_Book2 3" xfId="6322"/>
    <cellStyle name="_Fuel Prices 4-14_Book2_Adj Bench DR 3 for Initial Briefs (Electric)" xfId="1413"/>
    <cellStyle name="_Fuel Prices 4-14_Book2_Adj Bench DR 3 for Initial Briefs (Electric) 2" xfId="1414"/>
    <cellStyle name="_Fuel Prices 4-14_Book2_Adj Bench DR 3 for Initial Briefs (Electric) 2 2" xfId="6323"/>
    <cellStyle name="_Fuel Prices 4-14_Book2_Adj Bench DR 3 for Initial Briefs (Electric) 3" xfId="6324"/>
    <cellStyle name="_Fuel Prices 4-14_Book2_Electric Rev Req Model (2009 GRC) Rebuttal" xfId="1415"/>
    <cellStyle name="_Fuel Prices 4-14_Book2_Electric Rev Req Model (2009 GRC) Rebuttal 2" xfId="3892"/>
    <cellStyle name="_Fuel Prices 4-14_Book2_Electric Rev Req Model (2009 GRC) Rebuttal 2 2" xfId="6325"/>
    <cellStyle name="_Fuel Prices 4-14_Book2_Electric Rev Req Model (2009 GRC) Rebuttal 3" xfId="6326"/>
    <cellStyle name="_Fuel Prices 4-14_Book2_Electric Rev Req Model (2009 GRC) Rebuttal REmoval of New  WH Solar AdjustMI" xfId="1416"/>
    <cellStyle name="_Fuel Prices 4-14_Book2_Electric Rev Req Model (2009 GRC) Rebuttal REmoval of New  WH Solar AdjustMI 2" xfId="1417"/>
    <cellStyle name="_Fuel Prices 4-14_Book2_Electric Rev Req Model (2009 GRC) Rebuttal REmoval of New  WH Solar AdjustMI 2 2" xfId="6327"/>
    <cellStyle name="_Fuel Prices 4-14_Book2_Electric Rev Req Model (2009 GRC) Rebuttal REmoval of New  WH Solar AdjustMI 3" xfId="6328"/>
    <cellStyle name="_Fuel Prices 4-14_Book2_Electric Rev Req Model (2009 GRC) Revised 01-18-2010" xfId="1418"/>
    <cellStyle name="_Fuel Prices 4-14_Book2_Electric Rev Req Model (2009 GRC) Revised 01-18-2010 2" xfId="1419"/>
    <cellStyle name="_Fuel Prices 4-14_Book2_Electric Rev Req Model (2009 GRC) Revised 01-18-2010 2 2" xfId="6329"/>
    <cellStyle name="_Fuel Prices 4-14_Book2_Electric Rev Req Model (2009 GRC) Revised 01-18-2010 3" xfId="6330"/>
    <cellStyle name="_Fuel Prices 4-14_Book2_Final Order Electric EXHIBIT A-1" xfId="1420"/>
    <cellStyle name="_Fuel Prices 4-14_Book2_Final Order Electric EXHIBIT A-1 2" xfId="3893"/>
    <cellStyle name="_Fuel Prices 4-14_Book2_Final Order Electric EXHIBIT A-1 2 2" xfId="6331"/>
    <cellStyle name="_Fuel Prices 4-14_Book2_Final Order Electric EXHIBIT A-1 3" xfId="6332"/>
    <cellStyle name="_Fuel Prices 4-14_Book4" xfId="1421"/>
    <cellStyle name="_Fuel Prices 4-14_Book4 2" xfId="1422"/>
    <cellStyle name="_Fuel Prices 4-14_Book4 2 2" xfId="6333"/>
    <cellStyle name="_Fuel Prices 4-14_Book4 3" xfId="6334"/>
    <cellStyle name="_Fuel Prices 4-14_Book9" xfId="1423"/>
    <cellStyle name="_Fuel Prices 4-14_Book9 2" xfId="1424"/>
    <cellStyle name="_Fuel Prices 4-14_Book9 2 2" xfId="6335"/>
    <cellStyle name="_Fuel Prices 4-14_Book9 3" xfId="6336"/>
    <cellStyle name="_Fuel Prices 4-14_Direct Assignment Distribution Plant 2008" xfId="3894"/>
    <cellStyle name="_Fuel Prices 4-14_Direct Assignment Distribution Plant 2008 2" xfId="3895"/>
    <cellStyle name="_Fuel Prices 4-14_Direct Assignment Distribution Plant 2008 2 2" xfId="3896"/>
    <cellStyle name="_Fuel Prices 4-14_Direct Assignment Distribution Plant 2008 2 2 2" xfId="6337"/>
    <cellStyle name="_Fuel Prices 4-14_Direct Assignment Distribution Plant 2008 2 3" xfId="3897"/>
    <cellStyle name="_Fuel Prices 4-14_Direct Assignment Distribution Plant 2008 2 3 2" xfId="6338"/>
    <cellStyle name="_Fuel Prices 4-14_Direct Assignment Distribution Plant 2008 2 4" xfId="3898"/>
    <cellStyle name="_Fuel Prices 4-14_Direct Assignment Distribution Plant 2008 2 4 2" xfId="6339"/>
    <cellStyle name="_Fuel Prices 4-14_Direct Assignment Distribution Plant 2008 3" xfId="3899"/>
    <cellStyle name="_Fuel Prices 4-14_Direct Assignment Distribution Plant 2008 3 2" xfId="6340"/>
    <cellStyle name="_Fuel Prices 4-14_Direct Assignment Distribution Plant 2008 4" xfId="3900"/>
    <cellStyle name="_Fuel Prices 4-14_Direct Assignment Distribution Plant 2008 4 2" xfId="6341"/>
    <cellStyle name="_Fuel Prices 4-14_Direct Assignment Distribution Plant 2008 5" xfId="6342"/>
    <cellStyle name="_Fuel Prices 4-14_Electric COS Inputs" xfId="3901"/>
    <cellStyle name="_Fuel Prices 4-14_Electric COS Inputs 2" xfId="3902"/>
    <cellStyle name="_Fuel Prices 4-14_Electric COS Inputs 2 2" xfId="3903"/>
    <cellStyle name="_Fuel Prices 4-14_Electric COS Inputs 2 2 2" xfId="6343"/>
    <cellStyle name="_Fuel Prices 4-14_Electric COS Inputs 2 3" xfId="3904"/>
    <cellStyle name="_Fuel Prices 4-14_Electric COS Inputs 2 3 2" xfId="6344"/>
    <cellStyle name="_Fuel Prices 4-14_Electric COS Inputs 2 4" xfId="3905"/>
    <cellStyle name="_Fuel Prices 4-14_Electric COS Inputs 2 4 2" xfId="6345"/>
    <cellStyle name="_Fuel Prices 4-14_Electric COS Inputs 3" xfId="3906"/>
    <cellStyle name="_Fuel Prices 4-14_Electric COS Inputs 3 2" xfId="6346"/>
    <cellStyle name="_Fuel Prices 4-14_Electric COS Inputs 4" xfId="3907"/>
    <cellStyle name="_Fuel Prices 4-14_Electric COS Inputs 4 2" xfId="6347"/>
    <cellStyle name="_Fuel Prices 4-14_Electric COS Inputs 5" xfId="6348"/>
    <cellStyle name="_Fuel Prices 4-14_Electric Rate Spread and Rate Design 3.23.09" xfId="3908"/>
    <cellStyle name="_Fuel Prices 4-14_Electric Rate Spread and Rate Design 3.23.09 2" xfId="3909"/>
    <cellStyle name="_Fuel Prices 4-14_Electric Rate Spread and Rate Design 3.23.09 2 2" xfId="3910"/>
    <cellStyle name="_Fuel Prices 4-14_Electric Rate Spread and Rate Design 3.23.09 2 2 2" xfId="6349"/>
    <cellStyle name="_Fuel Prices 4-14_Electric Rate Spread and Rate Design 3.23.09 2 3" xfId="3911"/>
    <cellStyle name="_Fuel Prices 4-14_Electric Rate Spread and Rate Design 3.23.09 2 3 2" xfId="6350"/>
    <cellStyle name="_Fuel Prices 4-14_Electric Rate Spread and Rate Design 3.23.09 2 4" xfId="3912"/>
    <cellStyle name="_Fuel Prices 4-14_Electric Rate Spread and Rate Design 3.23.09 2 4 2" xfId="6351"/>
    <cellStyle name="_Fuel Prices 4-14_Electric Rate Spread and Rate Design 3.23.09 3" xfId="3913"/>
    <cellStyle name="_Fuel Prices 4-14_Electric Rate Spread and Rate Design 3.23.09 3 2" xfId="6352"/>
    <cellStyle name="_Fuel Prices 4-14_Electric Rate Spread and Rate Design 3.23.09 4" xfId="3914"/>
    <cellStyle name="_Fuel Prices 4-14_Electric Rate Spread and Rate Design 3.23.09 4 2" xfId="6353"/>
    <cellStyle name="_Fuel Prices 4-14_Electric Rate Spread and Rate Design 3.23.09 5" xfId="6354"/>
    <cellStyle name="_Fuel Prices 4-14_INPUTS" xfId="3915"/>
    <cellStyle name="_Fuel Prices 4-14_INPUTS 2" xfId="3916"/>
    <cellStyle name="_Fuel Prices 4-14_INPUTS 2 2" xfId="3917"/>
    <cellStyle name="_Fuel Prices 4-14_INPUTS 2 2 2" xfId="6355"/>
    <cellStyle name="_Fuel Prices 4-14_INPUTS 2 3" xfId="3918"/>
    <cellStyle name="_Fuel Prices 4-14_INPUTS 2 3 2" xfId="6356"/>
    <cellStyle name="_Fuel Prices 4-14_INPUTS 2 4" xfId="3919"/>
    <cellStyle name="_Fuel Prices 4-14_INPUTS 2 4 2" xfId="6357"/>
    <cellStyle name="_Fuel Prices 4-14_INPUTS 3" xfId="3920"/>
    <cellStyle name="_Fuel Prices 4-14_INPUTS 3 2" xfId="6358"/>
    <cellStyle name="_Fuel Prices 4-14_INPUTS 4" xfId="3921"/>
    <cellStyle name="_Fuel Prices 4-14_INPUTS 4 2" xfId="6359"/>
    <cellStyle name="_Fuel Prices 4-14_INPUTS 5" xfId="6360"/>
    <cellStyle name="_Fuel Prices 4-14_Leased Transformer &amp; Substation Plant &amp; Rev 12-2009" xfId="3922"/>
    <cellStyle name="_Fuel Prices 4-14_Leased Transformer &amp; Substation Plant &amp; Rev 12-2009 2" xfId="3923"/>
    <cellStyle name="_Fuel Prices 4-14_Leased Transformer &amp; Substation Plant &amp; Rev 12-2009 2 2" xfId="3924"/>
    <cellStyle name="_Fuel Prices 4-14_Leased Transformer &amp; Substation Plant &amp; Rev 12-2009 2 2 2" xfId="6361"/>
    <cellStyle name="_Fuel Prices 4-14_Leased Transformer &amp; Substation Plant &amp; Rev 12-2009 2 3" xfId="3925"/>
    <cellStyle name="_Fuel Prices 4-14_Leased Transformer &amp; Substation Plant &amp; Rev 12-2009 2 3 2" xfId="6362"/>
    <cellStyle name="_Fuel Prices 4-14_Leased Transformer &amp; Substation Plant &amp; Rev 12-2009 2 4" xfId="3926"/>
    <cellStyle name="_Fuel Prices 4-14_Leased Transformer &amp; Substation Plant &amp; Rev 12-2009 2 4 2" xfId="6363"/>
    <cellStyle name="_Fuel Prices 4-14_Leased Transformer &amp; Substation Plant &amp; Rev 12-2009 3" xfId="3927"/>
    <cellStyle name="_Fuel Prices 4-14_Leased Transformer &amp; Substation Plant &amp; Rev 12-2009 3 2" xfId="6364"/>
    <cellStyle name="_Fuel Prices 4-14_Leased Transformer &amp; Substation Plant &amp; Rev 12-2009 4" xfId="3928"/>
    <cellStyle name="_Fuel Prices 4-14_Leased Transformer &amp; Substation Plant &amp; Rev 12-2009 4 2" xfId="6365"/>
    <cellStyle name="_Fuel Prices 4-14_Leased Transformer &amp; Substation Plant &amp; Rev 12-2009 5" xfId="6366"/>
    <cellStyle name="_Fuel Prices 4-14_NIM Summary" xfId="1425"/>
    <cellStyle name="_Fuel Prices 4-14_NIM Summary 09GRC" xfId="1426"/>
    <cellStyle name="_Fuel Prices 4-14_NIM Summary 09GRC 2" xfId="1427"/>
    <cellStyle name="_Fuel Prices 4-14_NIM Summary 2" xfId="1428"/>
    <cellStyle name="_Fuel Prices 4-14_NIM Summary 3" xfId="1429"/>
    <cellStyle name="_Fuel Prices 4-14_NIM Summary 4" xfId="3359"/>
    <cellStyle name="_Fuel Prices 4-14_NIM Summary 5" xfId="3360"/>
    <cellStyle name="_Fuel Prices 4-14_NIM Summary 6" xfId="3361"/>
    <cellStyle name="_Fuel Prices 4-14_NIM Summary 7" xfId="3362"/>
    <cellStyle name="_Fuel Prices 4-14_NIM Summary 8" xfId="3363"/>
    <cellStyle name="_Fuel Prices 4-14_NIM Summary 9" xfId="3364"/>
    <cellStyle name="_Fuel Prices 4-14_PCA 9 -  Exhibit D April 2010 (3)" xfId="1430"/>
    <cellStyle name="_Fuel Prices 4-14_PCA 9 -  Exhibit D April 2010 (3) 2" xfId="1431"/>
    <cellStyle name="_Fuel Prices 4-14_Peak Credit Exhibits for 2009 GRC" xfId="3929"/>
    <cellStyle name="_Fuel Prices 4-14_Peak Credit Exhibits for 2009 GRC 2" xfId="3930"/>
    <cellStyle name="_Fuel Prices 4-14_Peak Credit Exhibits for 2009 GRC 2 2" xfId="3931"/>
    <cellStyle name="_Fuel Prices 4-14_Peak Credit Exhibits for 2009 GRC 2 2 2" xfId="6367"/>
    <cellStyle name="_Fuel Prices 4-14_Peak Credit Exhibits for 2009 GRC 2 3" xfId="3932"/>
    <cellStyle name="_Fuel Prices 4-14_Peak Credit Exhibits for 2009 GRC 2 3 2" xfId="6368"/>
    <cellStyle name="_Fuel Prices 4-14_Peak Credit Exhibits for 2009 GRC 2 4" xfId="3933"/>
    <cellStyle name="_Fuel Prices 4-14_Peak Credit Exhibits for 2009 GRC 2 4 2" xfId="6369"/>
    <cellStyle name="_Fuel Prices 4-14_Peak Credit Exhibits for 2009 GRC 3" xfId="3934"/>
    <cellStyle name="_Fuel Prices 4-14_Peak Credit Exhibits for 2009 GRC 3 2" xfId="6370"/>
    <cellStyle name="_Fuel Prices 4-14_Peak Credit Exhibits for 2009 GRC 4" xfId="3935"/>
    <cellStyle name="_Fuel Prices 4-14_Peak Credit Exhibits for 2009 GRC 4 2" xfId="6371"/>
    <cellStyle name="_Fuel Prices 4-14_Peak Credit Exhibits for 2009 GRC 5" xfId="6372"/>
    <cellStyle name="_Fuel Prices 4-14_Power Costs - Comparison bx Rbtl-Staff-Jt-PC" xfId="1432"/>
    <cellStyle name="_Fuel Prices 4-14_Power Costs - Comparison bx Rbtl-Staff-Jt-PC 2" xfId="1433"/>
    <cellStyle name="_Fuel Prices 4-14_Power Costs - Comparison bx Rbtl-Staff-Jt-PC 2 2" xfId="6373"/>
    <cellStyle name="_Fuel Prices 4-14_Power Costs - Comparison bx Rbtl-Staff-Jt-PC 3" xfId="6374"/>
    <cellStyle name="_Fuel Prices 4-14_Power Costs - Comparison bx Rbtl-Staff-Jt-PC_Adj Bench DR 3 for Initial Briefs (Electric)" xfId="1434"/>
    <cellStyle name="_Fuel Prices 4-14_Power Costs - Comparison bx Rbtl-Staff-Jt-PC_Adj Bench DR 3 for Initial Briefs (Electric) 2" xfId="1435"/>
    <cellStyle name="_Fuel Prices 4-14_Power Costs - Comparison bx Rbtl-Staff-Jt-PC_Adj Bench DR 3 for Initial Briefs (Electric) 2 2" xfId="6375"/>
    <cellStyle name="_Fuel Prices 4-14_Power Costs - Comparison bx Rbtl-Staff-Jt-PC_Adj Bench DR 3 for Initial Briefs (Electric) 3" xfId="6376"/>
    <cellStyle name="_Fuel Prices 4-14_Power Costs - Comparison bx Rbtl-Staff-Jt-PC_Electric Rev Req Model (2009 GRC) Rebuttal" xfId="1436"/>
    <cellStyle name="_Fuel Prices 4-14_Power Costs - Comparison bx Rbtl-Staff-Jt-PC_Electric Rev Req Model (2009 GRC) Rebuttal 2" xfId="3936"/>
    <cellStyle name="_Fuel Prices 4-14_Power Costs - Comparison bx Rbtl-Staff-Jt-PC_Electric Rev Req Model (2009 GRC) Rebuttal 2 2" xfId="6377"/>
    <cellStyle name="_Fuel Prices 4-14_Power Costs - Comparison bx Rbtl-Staff-Jt-PC_Electric Rev Req Model (2009 GRC) Rebuttal 3" xfId="6378"/>
    <cellStyle name="_Fuel Prices 4-14_Power Costs - Comparison bx Rbtl-Staff-Jt-PC_Electric Rev Req Model (2009 GRC) Rebuttal REmoval of New  WH Solar AdjustMI" xfId="1437"/>
    <cellStyle name="_Fuel Prices 4-14_Power Costs - Comparison bx Rbtl-Staff-Jt-PC_Electric Rev Req Model (2009 GRC) Rebuttal REmoval of New  WH Solar AdjustMI 2" xfId="1438"/>
    <cellStyle name="_Fuel Prices 4-14_Power Costs - Comparison bx Rbtl-Staff-Jt-PC_Electric Rev Req Model (2009 GRC) Rebuttal REmoval of New  WH Solar AdjustMI 2 2" xfId="6379"/>
    <cellStyle name="_Fuel Prices 4-14_Power Costs - Comparison bx Rbtl-Staff-Jt-PC_Electric Rev Req Model (2009 GRC) Rebuttal REmoval of New  WH Solar AdjustMI 3" xfId="6380"/>
    <cellStyle name="_Fuel Prices 4-14_Power Costs - Comparison bx Rbtl-Staff-Jt-PC_Electric Rev Req Model (2009 GRC) Revised 01-18-2010" xfId="1439"/>
    <cellStyle name="_Fuel Prices 4-14_Power Costs - Comparison bx Rbtl-Staff-Jt-PC_Electric Rev Req Model (2009 GRC) Revised 01-18-2010 2" xfId="1440"/>
    <cellStyle name="_Fuel Prices 4-14_Power Costs - Comparison bx Rbtl-Staff-Jt-PC_Electric Rev Req Model (2009 GRC) Revised 01-18-2010 2 2" xfId="6381"/>
    <cellStyle name="_Fuel Prices 4-14_Power Costs - Comparison bx Rbtl-Staff-Jt-PC_Electric Rev Req Model (2009 GRC) Revised 01-18-2010 3" xfId="6382"/>
    <cellStyle name="_Fuel Prices 4-14_Power Costs - Comparison bx Rbtl-Staff-Jt-PC_Final Order Electric EXHIBIT A-1" xfId="1441"/>
    <cellStyle name="_Fuel Prices 4-14_Power Costs - Comparison bx Rbtl-Staff-Jt-PC_Final Order Electric EXHIBIT A-1 2" xfId="3937"/>
    <cellStyle name="_Fuel Prices 4-14_Power Costs - Comparison bx Rbtl-Staff-Jt-PC_Final Order Electric EXHIBIT A-1 2 2" xfId="6383"/>
    <cellStyle name="_Fuel Prices 4-14_Power Costs - Comparison bx Rbtl-Staff-Jt-PC_Final Order Electric EXHIBIT A-1 3" xfId="6384"/>
    <cellStyle name="_Fuel Prices 4-14_Production Adj 4.37" xfId="3938"/>
    <cellStyle name="_Fuel Prices 4-14_Production Adj 4.37 2" xfId="3939"/>
    <cellStyle name="_Fuel Prices 4-14_Production Adj 4.37 2 2" xfId="6385"/>
    <cellStyle name="_Fuel Prices 4-14_Production Adj 4.37 3" xfId="6386"/>
    <cellStyle name="_Fuel Prices 4-14_Purchased Power Adj 4.03" xfId="3940"/>
    <cellStyle name="_Fuel Prices 4-14_Purchased Power Adj 4.03 2" xfId="3941"/>
    <cellStyle name="_Fuel Prices 4-14_Purchased Power Adj 4.03 2 2" xfId="6387"/>
    <cellStyle name="_Fuel Prices 4-14_Purchased Power Adj 4.03 3" xfId="6388"/>
    <cellStyle name="_Fuel Prices 4-14_Rate Design Sch 24" xfId="3942"/>
    <cellStyle name="_Fuel Prices 4-14_Rate Design Sch 24 2" xfId="6389"/>
    <cellStyle name="_Fuel Prices 4-14_Rate Design Sch 25" xfId="3943"/>
    <cellStyle name="_Fuel Prices 4-14_Rate Design Sch 25 2" xfId="3944"/>
    <cellStyle name="_Fuel Prices 4-14_Rate Design Sch 25 2 2" xfId="6390"/>
    <cellStyle name="_Fuel Prices 4-14_Rate Design Sch 25 3" xfId="6391"/>
    <cellStyle name="_Fuel Prices 4-14_Rate Design Sch 26" xfId="3945"/>
    <cellStyle name="_Fuel Prices 4-14_Rate Design Sch 26 2" xfId="3946"/>
    <cellStyle name="_Fuel Prices 4-14_Rate Design Sch 26 2 2" xfId="6392"/>
    <cellStyle name="_Fuel Prices 4-14_Rate Design Sch 26 3" xfId="6393"/>
    <cellStyle name="_Fuel Prices 4-14_Rate Design Sch 31" xfId="3947"/>
    <cellStyle name="_Fuel Prices 4-14_Rate Design Sch 31 2" xfId="3948"/>
    <cellStyle name="_Fuel Prices 4-14_Rate Design Sch 31 2 2" xfId="6394"/>
    <cellStyle name="_Fuel Prices 4-14_Rate Design Sch 31 3" xfId="6395"/>
    <cellStyle name="_Fuel Prices 4-14_Rate Design Sch 43" xfId="3949"/>
    <cellStyle name="_Fuel Prices 4-14_Rate Design Sch 43 2" xfId="3950"/>
    <cellStyle name="_Fuel Prices 4-14_Rate Design Sch 43 2 2" xfId="6396"/>
    <cellStyle name="_Fuel Prices 4-14_Rate Design Sch 43 3" xfId="6397"/>
    <cellStyle name="_Fuel Prices 4-14_Rate Design Sch 448-449" xfId="3951"/>
    <cellStyle name="_Fuel Prices 4-14_Rate Design Sch 448-449 2" xfId="6398"/>
    <cellStyle name="_Fuel Prices 4-14_Rate Design Sch 46" xfId="3952"/>
    <cellStyle name="_Fuel Prices 4-14_Rate Design Sch 46 2" xfId="3953"/>
    <cellStyle name="_Fuel Prices 4-14_Rate Design Sch 46 2 2" xfId="6399"/>
    <cellStyle name="_Fuel Prices 4-14_Rate Design Sch 46 3" xfId="6400"/>
    <cellStyle name="_Fuel Prices 4-14_Rate Spread" xfId="3954"/>
    <cellStyle name="_Fuel Prices 4-14_Rate Spread 2" xfId="3955"/>
    <cellStyle name="_Fuel Prices 4-14_Rate Spread 2 2" xfId="6401"/>
    <cellStyle name="_Fuel Prices 4-14_Rate Spread 3" xfId="6402"/>
    <cellStyle name="_Fuel Prices 4-14_Rebuttal Power Costs" xfId="1442"/>
    <cellStyle name="_Fuel Prices 4-14_Rebuttal Power Costs 2" xfId="1443"/>
    <cellStyle name="_Fuel Prices 4-14_Rebuttal Power Costs 2 2" xfId="6403"/>
    <cellStyle name="_Fuel Prices 4-14_Rebuttal Power Costs 3" xfId="6404"/>
    <cellStyle name="_Fuel Prices 4-14_Rebuttal Power Costs_Adj Bench DR 3 for Initial Briefs (Electric)" xfId="1444"/>
    <cellStyle name="_Fuel Prices 4-14_Rebuttal Power Costs_Adj Bench DR 3 for Initial Briefs (Electric) 2" xfId="1445"/>
    <cellStyle name="_Fuel Prices 4-14_Rebuttal Power Costs_Adj Bench DR 3 for Initial Briefs (Electric) 2 2" xfId="6405"/>
    <cellStyle name="_Fuel Prices 4-14_Rebuttal Power Costs_Adj Bench DR 3 for Initial Briefs (Electric) 3" xfId="6406"/>
    <cellStyle name="_Fuel Prices 4-14_Rebuttal Power Costs_Electric Rev Req Model (2009 GRC) Rebuttal" xfId="1446"/>
    <cellStyle name="_Fuel Prices 4-14_Rebuttal Power Costs_Electric Rev Req Model (2009 GRC) Rebuttal 2" xfId="3956"/>
    <cellStyle name="_Fuel Prices 4-14_Rebuttal Power Costs_Electric Rev Req Model (2009 GRC) Rebuttal 2 2" xfId="6407"/>
    <cellStyle name="_Fuel Prices 4-14_Rebuttal Power Costs_Electric Rev Req Model (2009 GRC) Rebuttal 3" xfId="6408"/>
    <cellStyle name="_Fuel Prices 4-14_Rebuttal Power Costs_Electric Rev Req Model (2009 GRC) Rebuttal REmoval of New  WH Solar AdjustMI" xfId="1447"/>
    <cellStyle name="_Fuel Prices 4-14_Rebuttal Power Costs_Electric Rev Req Model (2009 GRC) Rebuttal REmoval of New  WH Solar AdjustMI 2" xfId="1448"/>
    <cellStyle name="_Fuel Prices 4-14_Rebuttal Power Costs_Electric Rev Req Model (2009 GRC) Rebuttal REmoval of New  WH Solar AdjustMI 2 2" xfId="6409"/>
    <cellStyle name="_Fuel Prices 4-14_Rebuttal Power Costs_Electric Rev Req Model (2009 GRC) Rebuttal REmoval of New  WH Solar AdjustMI 3" xfId="6410"/>
    <cellStyle name="_Fuel Prices 4-14_Rebuttal Power Costs_Electric Rev Req Model (2009 GRC) Revised 01-18-2010" xfId="1449"/>
    <cellStyle name="_Fuel Prices 4-14_Rebuttal Power Costs_Electric Rev Req Model (2009 GRC) Revised 01-18-2010 2" xfId="1450"/>
    <cellStyle name="_Fuel Prices 4-14_Rebuttal Power Costs_Electric Rev Req Model (2009 GRC) Revised 01-18-2010 2 2" xfId="6411"/>
    <cellStyle name="_Fuel Prices 4-14_Rebuttal Power Costs_Electric Rev Req Model (2009 GRC) Revised 01-18-2010 3" xfId="6412"/>
    <cellStyle name="_Fuel Prices 4-14_Rebuttal Power Costs_Final Order Electric EXHIBIT A-1" xfId="1451"/>
    <cellStyle name="_Fuel Prices 4-14_Rebuttal Power Costs_Final Order Electric EXHIBIT A-1 2" xfId="3957"/>
    <cellStyle name="_Fuel Prices 4-14_Rebuttal Power Costs_Final Order Electric EXHIBIT A-1 2 2" xfId="6413"/>
    <cellStyle name="_Fuel Prices 4-14_Rebuttal Power Costs_Final Order Electric EXHIBIT A-1 3" xfId="6414"/>
    <cellStyle name="_Fuel Prices 4-14_ROR 5.02" xfId="3958"/>
    <cellStyle name="_Fuel Prices 4-14_ROR 5.02 2" xfId="3959"/>
    <cellStyle name="_Fuel Prices 4-14_ROR 5.02 2 2" xfId="6415"/>
    <cellStyle name="_Fuel Prices 4-14_ROR 5.02 3" xfId="6416"/>
    <cellStyle name="_Fuel Prices 4-14_Sch 40 Feeder OH 2008" xfId="3960"/>
    <cellStyle name="_Fuel Prices 4-14_Sch 40 Feeder OH 2008 2" xfId="3961"/>
    <cellStyle name="_Fuel Prices 4-14_Sch 40 Feeder OH 2008 2 2" xfId="6417"/>
    <cellStyle name="_Fuel Prices 4-14_Sch 40 Feeder OH 2008 3" xfId="6418"/>
    <cellStyle name="_Fuel Prices 4-14_Sch 40 Interim Energy Rates " xfId="3962"/>
    <cellStyle name="_Fuel Prices 4-14_Sch 40 Interim Energy Rates  2" xfId="3963"/>
    <cellStyle name="_Fuel Prices 4-14_Sch 40 Interim Energy Rates  2 2" xfId="6419"/>
    <cellStyle name="_Fuel Prices 4-14_Sch 40 Interim Energy Rates  3" xfId="6420"/>
    <cellStyle name="_Fuel Prices 4-14_Sch 40 Substation A&amp;G 2008" xfId="3964"/>
    <cellStyle name="_Fuel Prices 4-14_Sch 40 Substation A&amp;G 2008 2" xfId="3965"/>
    <cellStyle name="_Fuel Prices 4-14_Sch 40 Substation A&amp;G 2008 2 2" xfId="6421"/>
    <cellStyle name="_Fuel Prices 4-14_Sch 40 Substation A&amp;G 2008 3" xfId="6422"/>
    <cellStyle name="_Fuel Prices 4-14_Sch 40 Substation O&amp;M 2008" xfId="3966"/>
    <cellStyle name="_Fuel Prices 4-14_Sch 40 Substation O&amp;M 2008 2" xfId="3967"/>
    <cellStyle name="_Fuel Prices 4-14_Sch 40 Substation O&amp;M 2008 2 2" xfId="6423"/>
    <cellStyle name="_Fuel Prices 4-14_Sch 40 Substation O&amp;M 2008 3" xfId="6424"/>
    <cellStyle name="_Fuel Prices 4-14_Subs 2008" xfId="3968"/>
    <cellStyle name="_Fuel Prices 4-14_Subs 2008 2" xfId="3969"/>
    <cellStyle name="_Fuel Prices 4-14_Subs 2008 2 2" xfId="6425"/>
    <cellStyle name="_Fuel Prices 4-14_Subs 2008 3" xfId="6426"/>
    <cellStyle name="_Fuel Prices 4-14_Wind Integration 10GRC" xfId="1452"/>
    <cellStyle name="_Fuel Prices 4-14_Wind Integration 10GRC 2" xfId="1453"/>
    <cellStyle name="_Gas Transportation Charges_2009GRC_120308" xfId="1454"/>
    <cellStyle name="_Gas Transportation Charges_2009GRC_120308 2" xfId="1455"/>
    <cellStyle name="_Gas Transportation Charges_2009GRC_120308 2 2" xfId="6427"/>
    <cellStyle name="_Gas Transportation Charges_2009GRC_120308 3" xfId="6428"/>
    <cellStyle name="_Gas Transportation Charges_2009GRC_120308_DEM-WP(C) Costs Not In AURORA 2010GRC As Filed" xfId="1456"/>
    <cellStyle name="_Gas Transportation Charges_2009GRC_120308_NIM Summary" xfId="1457"/>
    <cellStyle name="_Gas Transportation Charges_2009GRC_120308_NIM Summary 09GRC" xfId="1458"/>
    <cellStyle name="_Gas Transportation Charges_2009GRC_120308_NIM Summary 09GRC 2" xfId="1459"/>
    <cellStyle name="_Gas Transportation Charges_2009GRC_120308_NIM Summary 2" xfId="1460"/>
    <cellStyle name="_Gas Transportation Charges_2009GRC_120308_NIM Summary 3" xfId="1461"/>
    <cellStyle name="_Gas Transportation Charges_2009GRC_120308_NIM Summary 4" xfId="3365"/>
    <cellStyle name="_Gas Transportation Charges_2009GRC_120308_NIM Summary 5" xfId="3366"/>
    <cellStyle name="_Gas Transportation Charges_2009GRC_120308_NIM Summary 6" xfId="3367"/>
    <cellStyle name="_Gas Transportation Charges_2009GRC_120308_NIM Summary 7" xfId="3368"/>
    <cellStyle name="_Gas Transportation Charges_2009GRC_120308_NIM Summary 8" xfId="3369"/>
    <cellStyle name="_Gas Transportation Charges_2009GRC_120308_NIM Summary 9" xfId="3370"/>
    <cellStyle name="_Gas Transportation Charges_2009GRC_120308_PCA 9 -  Exhibit D April 2010 (3)" xfId="1462"/>
    <cellStyle name="_Gas Transportation Charges_2009GRC_120308_PCA 9 -  Exhibit D April 2010 (3) 2" xfId="1463"/>
    <cellStyle name="_Gas Transportation Charges_2009GRC_120308_Reconciliation" xfId="1464"/>
    <cellStyle name="_Gas Transportation Charges_2009GRC_120308_Wind Integration 10GRC" xfId="1465"/>
    <cellStyle name="_Gas Transportation Charges_2009GRC_120308_Wind Integration 10GRC 2" xfId="1466"/>
    <cellStyle name="_Monthly Fixed Input" xfId="1467"/>
    <cellStyle name="_Monthly Fixed Input 2" xfId="1468"/>
    <cellStyle name="_Monthly Fixed Input_NIM Summary" xfId="1469"/>
    <cellStyle name="_Monthly Fixed Input_NIM Summary 2" xfId="1470"/>
    <cellStyle name="_NIM 06 Base Case Current Trends" xfId="1471"/>
    <cellStyle name="_NIM 06 Base Case Current Trends 2" xfId="1472"/>
    <cellStyle name="_NIM 06 Base Case Current Trends 2 2" xfId="6429"/>
    <cellStyle name="_NIM 06 Base Case Current Trends 3" xfId="6430"/>
    <cellStyle name="_NIM 06 Base Case Current Trends_Adj Bench DR 3 for Initial Briefs (Electric)" xfId="1473"/>
    <cellStyle name="_NIM 06 Base Case Current Trends_Adj Bench DR 3 for Initial Briefs (Electric) 2" xfId="1474"/>
    <cellStyle name="_NIM 06 Base Case Current Trends_Adj Bench DR 3 for Initial Briefs (Electric) 2 2" xfId="6431"/>
    <cellStyle name="_NIM 06 Base Case Current Trends_Adj Bench DR 3 for Initial Briefs (Electric) 3" xfId="6432"/>
    <cellStyle name="_NIM 06 Base Case Current Trends_Book2" xfId="1475"/>
    <cellStyle name="_NIM 06 Base Case Current Trends_Book2 2" xfId="1476"/>
    <cellStyle name="_NIM 06 Base Case Current Trends_Book2 2 2" xfId="6433"/>
    <cellStyle name="_NIM 06 Base Case Current Trends_Book2 3" xfId="6434"/>
    <cellStyle name="_NIM 06 Base Case Current Trends_Book2_Adj Bench DR 3 for Initial Briefs (Electric)" xfId="1477"/>
    <cellStyle name="_NIM 06 Base Case Current Trends_Book2_Adj Bench DR 3 for Initial Briefs (Electric) 2" xfId="1478"/>
    <cellStyle name="_NIM 06 Base Case Current Trends_Book2_Adj Bench DR 3 for Initial Briefs (Electric) 2 2" xfId="6435"/>
    <cellStyle name="_NIM 06 Base Case Current Trends_Book2_Adj Bench DR 3 for Initial Briefs (Electric) 3" xfId="6436"/>
    <cellStyle name="_NIM 06 Base Case Current Trends_Book2_Electric Rev Req Model (2009 GRC) Rebuttal" xfId="1479"/>
    <cellStyle name="_NIM 06 Base Case Current Trends_Book2_Electric Rev Req Model (2009 GRC) Rebuttal 2" xfId="3970"/>
    <cellStyle name="_NIM 06 Base Case Current Trends_Book2_Electric Rev Req Model (2009 GRC) Rebuttal 2 2" xfId="6437"/>
    <cellStyle name="_NIM 06 Base Case Current Trends_Book2_Electric Rev Req Model (2009 GRC) Rebuttal 3" xfId="6438"/>
    <cellStyle name="_NIM 06 Base Case Current Trends_Book2_Electric Rev Req Model (2009 GRC) Rebuttal REmoval of New  WH Solar AdjustMI" xfId="1480"/>
    <cellStyle name="_NIM 06 Base Case Current Trends_Book2_Electric Rev Req Model (2009 GRC) Rebuttal REmoval of New  WH Solar AdjustMI 2" xfId="1481"/>
    <cellStyle name="_NIM 06 Base Case Current Trends_Book2_Electric Rev Req Model (2009 GRC) Rebuttal REmoval of New  WH Solar AdjustMI 2 2" xfId="6439"/>
    <cellStyle name="_NIM 06 Base Case Current Trends_Book2_Electric Rev Req Model (2009 GRC) Rebuttal REmoval of New  WH Solar AdjustMI 3" xfId="6440"/>
    <cellStyle name="_NIM 06 Base Case Current Trends_Book2_Electric Rev Req Model (2009 GRC) Revised 01-18-2010" xfId="1482"/>
    <cellStyle name="_NIM 06 Base Case Current Trends_Book2_Electric Rev Req Model (2009 GRC) Revised 01-18-2010 2" xfId="1483"/>
    <cellStyle name="_NIM 06 Base Case Current Trends_Book2_Electric Rev Req Model (2009 GRC) Revised 01-18-2010 2 2" xfId="6441"/>
    <cellStyle name="_NIM 06 Base Case Current Trends_Book2_Electric Rev Req Model (2009 GRC) Revised 01-18-2010 3" xfId="6442"/>
    <cellStyle name="_NIM 06 Base Case Current Trends_Book2_Final Order Electric EXHIBIT A-1" xfId="1484"/>
    <cellStyle name="_NIM 06 Base Case Current Trends_Book2_Final Order Electric EXHIBIT A-1 2" xfId="3971"/>
    <cellStyle name="_NIM 06 Base Case Current Trends_Book2_Final Order Electric EXHIBIT A-1 2 2" xfId="6443"/>
    <cellStyle name="_NIM 06 Base Case Current Trends_Book2_Final Order Electric EXHIBIT A-1 3" xfId="6444"/>
    <cellStyle name="_NIM 06 Base Case Current Trends_Electric Rev Req Model (2009 GRC) " xfId="1485"/>
    <cellStyle name="_NIM 06 Base Case Current Trends_Electric Rev Req Model (2009 GRC)  2" xfId="1486"/>
    <cellStyle name="_NIM 06 Base Case Current Trends_Electric Rev Req Model (2009 GRC)  2 2" xfId="6445"/>
    <cellStyle name="_NIM 06 Base Case Current Trends_Electric Rev Req Model (2009 GRC)  3" xfId="6446"/>
    <cellStyle name="_NIM 06 Base Case Current Trends_Electric Rev Req Model (2009 GRC) Rebuttal" xfId="1487"/>
    <cellStyle name="_NIM 06 Base Case Current Trends_Electric Rev Req Model (2009 GRC) Rebuttal 2" xfId="3972"/>
    <cellStyle name="_NIM 06 Base Case Current Trends_Electric Rev Req Model (2009 GRC) Rebuttal 2 2" xfId="6447"/>
    <cellStyle name="_NIM 06 Base Case Current Trends_Electric Rev Req Model (2009 GRC) Rebuttal 3" xfId="6448"/>
    <cellStyle name="_NIM 06 Base Case Current Trends_Electric Rev Req Model (2009 GRC) Rebuttal REmoval of New  WH Solar AdjustMI" xfId="1488"/>
    <cellStyle name="_NIM 06 Base Case Current Trends_Electric Rev Req Model (2009 GRC) Rebuttal REmoval of New  WH Solar AdjustMI 2" xfId="1489"/>
    <cellStyle name="_NIM 06 Base Case Current Trends_Electric Rev Req Model (2009 GRC) Rebuttal REmoval of New  WH Solar AdjustMI 2 2" xfId="6449"/>
    <cellStyle name="_NIM 06 Base Case Current Trends_Electric Rev Req Model (2009 GRC) Rebuttal REmoval of New  WH Solar AdjustMI 3" xfId="6450"/>
    <cellStyle name="_NIM 06 Base Case Current Trends_Electric Rev Req Model (2009 GRC) Revised 01-18-2010" xfId="1490"/>
    <cellStyle name="_NIM 06 Base Case Current Trends_Electric Rev Req Model (2009 GRC) Revised 01-18-2010 2" xfId="1491"/>
    <cellStyle name="_NIM 06 Base Case Current Trends_Electric Rev Req Model (2009 GRC) Revised 01-18-2010 2 2" xfId="6451"/>
    <cellStyle name="_NIM 06 Base Case Current Trends_Electric Rev Req Model (2009 GRC) Revised 01-18-2010 3" xfId="6452"/>
    <cellStyle name="_NIM 06 Base Case Current Trends_Final Order Electric EXHIBIT A-1" xfId="1492"/>
    <cellStyle name="_NIM 06 Base Case Current Trends_Final Order Electric EXHIBIT A-1 2" xfId="3973"/>
    <cellStyle name="_NIM 06 Base Case Current Trends_Final Order Electric EXHIBIT A-1 2 2" xfId="6453"/>
    <cellStyle name="_NIM 06 Base Case Current Trends_Final Order Electric EXHIBIT A-1 3" xfId="6454"/>
    <cellStyle name="_NIM 06 Base Case Current Trends_NIM Summary" xfId="1493"/>
    <cellStyle name="_NIM 06 Base Case Current Trends_NIM Summary 2" xfId="1494"/>
    <cellStyle name="_NIM 06 Base Case Current Trends_Rebuttal Power Costs" xfId="1495"/>
    <cellStyle name="_NIM 06 Base Case Current Trends_Rebuttal Power Costs 2" xfId="1496"/>
    <cellStyle name="_NIM 06 Base Case Current Trends_Rebuttal Power Costs 2 2" xfId="6455"/>
    <cellStyle name="_NIM 06 Base Case Current Trends_Rebuttal Power Costs 3" xfId="6456"/>
    <cellStyle name="_NIM 06 Base Case Current Trends_Rebuttal Power Costs_Adj Bench DR 3 for Initial Briefs (Electric)" xfId="1497"/>
    <cellStyle name="_NIM 06 Base Case Current Trends_Rebuttal Power Costs_Adj Bench DR 3 for Initial Briefs (Electric) 2" xfId="1498"/>
    <cellStyle name="_NIM 06 Base Case Current Trends_Rebuttal Power Costs_Adj Bench DR 3 for Initial Briefs (Electric) 2 2" xfId="6457"/>
    <cellStyle name="_NIM 06 Base Case Current Trends_Rebuttal Power Costs_Adj Bench DR 3 for Initial Briefs (Electric) 3" xfId="6458"/>
    <cellStyle name="_NIM 06 Base Case Current Trends_Rebuttal Power Costs_Electric Rev Req Model (2009 GRC) Rebuttal" xfId="1499"/>
    <cellStyle name="_NIM 06 Base Case Current Trends_Rebuttal Power Costs_Electric Rev Req Model (2009 GRC) Rebuttal 2" xfId="3974"/>
    <cellStyle name="_NIM 06 Base Case Current Trends_Rebuttal Power Costs_Electric Rev Req Model (2009 GRC) Rebuttal 2 2" xfId="6459"/>
    <cellStyle name="_NIM 06 Base Case Current Trends_Rebuttal Power Costs_Electric Rev Req Model (2009 GRC) Rebuttal 3" xfId="6460"/>
    <cellStyle name="_NIM 06 Base Case Current Trends_Rebuttal Power Costs_Electric Rev Req Model (2009 GRC) Rebuttal REmoval of New  WH Solar AdjustMI" xfId="1500"/>
    <cellStyle name="_NIM 06 Base Case Current Trends_Rebuttal Power Costs_Electric Rev Req Model (2009 GRC) Rebuttal REmoval of New  WH Solar AdjustMI 2" xfId="1501"/>
    <cellStyle name="_NIM 06 Base Case Current Trends_Rebuttal Power Costs_Electric Rev Req Model (2009 GRC) Rebuttal REmoval of New  WH Solar AdjustMI 2 2" xfId="6461"/>
    <cellStyle name="_NIM 06 Base Case Current Trends_Rebuttal Power Costs_Electric Rev Req Model (2009 GRC) Rebuttal REmoval of New  WH Solar AdjustMI 3" xfId="6462"/>
    <cellStyle name="_NIM 06 Base Case Current Trends_Rebuttal Power Costs_Electric Rev Req Model (2009 GRC) Revised 01-18-2010" xfId="1502"/>
    <cellStyle name="_NIM 06 Base Case Current Trends_Rebuttal Power Costs_Electric Rev Req Model (2009 GRC) Revised 01-18-2010 2" xfId="1503"/>
    <cellStyle name="_NIM 06 Base Case Current Trends_Rebuttal Power Costs_Electric Rev Req Model (2009 GRC) Revised 01-18-2010 2 2" xfId="6463"/>
    <cellStyle name="_NIM 06 Base Case Current Trends_Rebuttal Power Costs_Electric Rev Req Model (2009 GRC) Revised 01-18-2010 3" xfId="6464"/>
    <cellStyle name="_NIM 06 Base Case Current Trends_Rebuttal Power Costs_Final Order Electric EXHIBIT A-1" xfId="1504"/>
    <cellStyle name="_NIM 06 Base Case Current Trends_Rebuttal Power Costs_Final Order Electric EXHIBIT A-1 2" xfId="3975"/>
    <cellStyle name="_NIM 06 Base Case Current Trends_Rebuttal Power Costs_Final Order Electric EXHIBIT A-1 2 2" xfId="6465"/>
    <cellStyle name="_NIM 06 Base Case Current Trends_Rebuttal Power Costs_Final Order Electric EXHIBIT A-1 3" xfId="6466"/>
    <cellStyle name="_NIM 06 Base Case Current Trends_TENASKA REGULATORY ASSET" xfId="1505"/>
    <cellStyle name="_NIM 06 Base Case Current Trends_TENASKA REGULATORY ASSET 2" xfId="3976"/>
    <cellStyle name="_NIM 06 Base Case Current Trends_TENASKA REGULATORY ASSET 2 2" xfId="6467"/>
    <cellStyle name="_NIM 06 Base Case Current Trends_TENASKA REGULATORY ASSET 3" xfId="6468"/>
    <cellStyle name="_NIM Summary 09GRC" xfId="1506"/>
    <cellStyle name="_NIM Summary 09GRC 2" xfId="1507"/>
    <cellStyle name="_NIM Summary 09GRC_NIM Summary" xfId="1508"/>
    <cellStyle name="_NIM Summary 09GRC_NIM Summary 2" xfId="1509"/>
    <cellStyle name="_PCA 7 - Exhibit D update 9_30_2008" xfId="1510"/>
    <cellStyle name="_PCA 7 - Exhibit D update 9_30_2008_NIM Summary" xfId="1511"/>
    <cellStyle name="_PCA 7 - Exhibit D update 9_30_2008_NIM Summary 2" xfId="1512"/>
    <cellStyle name="_PCA 7 - Exhibit D update 9_30_2008_Transmission Workbook for May BOD" xfId="1513"/>
    <cellStyle name="_PCA 7 - Exhibit D update 9_30_2008_Transmission Workbook for May BOD 2" xfId="1514"/>
    <cellStyle name="_PCA 7 - Exhibit D update 9_30_2008_Wind Integration 10GRC" xfId="1515"/>
    <cellStyle name="_PCA 7 - Exhibit D update 9_30_2008_Wind Integration 10GRC 2" xfId="1516"/>
    <cellStyle name="_Portfolio SPlan Base Case.xls Chart 1" xfId="1517"/>
    <cellStyle name="_Portfolio SPlan Base Case.xls Chart 1 2" xfId="1518"/>
    <cellStyle name="_Portfolio SPlan Base Case.xls Chart 1 2 2" xfId="6469"/>
    <cellStyle name="_Portfolio SPlan Base Case.xls Chart 1 3" xfId="6470"/>
    <cellStyle name="_Portfolio SPlan Base Case.xls Chart 1_Adj Bench DR 3 for Initial Briefs (Electric)" xfId="1519"/>
    <cellStyle name="_Portfolio SPlan Base Case.xls Chart 1_Adj Bench DR 3 for Initial Briefs (Electric) 2" xfId="1520"/>
    <cellStyle name="_Portfolio SPlan Base Case.xls Chart 1_Adj Bench DR 3 for Initial Briefs (Electric) 2 2" xfId="6471"/>
    <cellStyle name="_Portfolio SPlan Base Case.xls Chart 1_Adj Bench DR 3 for Initial Briefs (Electric) 3" xfId="6472"/>
    <cellStyle name="_Portfolio SPlan Base Case.xls Chart 1_Book2" xfId="1521"/>
    <cellStyle name="_Portfolio SPlan Base Case.xls Chart 1_Book2 2" xfId="1522"/>
    <cellStyle name="_Portfolio SPlan Base Case.xls Chart 1_Book2 2 2" xfId="6473"/>
    <cellStyle name="_Portfolio SPlan Base Case.xls Chart 1_Book2 3" xfId="6474"/>
    <cellStyle name="_Portfolio SPlan Base Case.xls Chart 1_Book2_Adj Bench DR 3 for Initial Briefs (Electric)" xfId="1523"/>
    <cellStyle name="_Portfolio SPlan Base Case.xls Chart 1_Book2_Adj Bench DR 3 for Initial Briefs (Electric) 2" xfId="1524"/>
    <cellStyle name="_Portfolio SPlan Base Case.xls Chart 1_Book2_Adj Bench DR 3 for Initial Briefs (Electric) 2 2" xfId="6475"/>
    <cellStyle name="_Portfolio SPlan Base Case.xls Chart 1_Book2_Adj Bench DR 3 for Initial Briefs (Electric) 3" xfId="6476"/>
    <cellStyle name="_Portfolio SPlan Base Case.xls Chart 1_Book2_Electric Rev Req Model (2009 GRC) Rebuttal" xfId="1525"/>
    <cellStyle name="_Portfolio SPlan Base Case.xls Chart 1_Book2_Electric Rev Req Model (2009 GRC) Rebuttal 2" xfId="3977"/>
    <cellStyle name="_Portfolio SPlan Base Case.xls Chart 1_Book2_Electric Rev Req Model (2009 GRC) Rebuttal 2 2" xfId="6477"/>
    <cellStyle name="_Portfolio SPlan Base Case.xls Chart 1_Book2_Electric Rev Req Model (2009 GRC) Rebuttal 3" xfId="6478"/>
    <cellStyle name="_Portfolio SPlan Base Case.xls Chart 1_Book2_Electric Rev Req Model (2009 GRC) Rebuttal REmoval of New  WH Solar AdjustMI" xfId="1526"/>
    <cellStyle name="_Portfolio SPlan Base Case.xls Chart 1_Book2_Electric Rev Req Model (2009 GRC) Rebuttal REmoval of New  WH Solar AdjustMI 2" xfId="1527"/>
    <cellStyle name="_Portfolio SPlan Base Case.xls Chart 1_Book2_Electric Rev Req Model (2009 GRC) Rebuttal REmoval of New  WH Solar AdjustMI 2 2" xfId="6479"/>
    <cellStyle name="_Portfolio SPlan Base Case.xls Chart 1_Book2_Electric Rev Req Model (2009 GRC) Rebuttal REmoval of New  WH Solar AdjustMI 3" xfId="6480"/>
    <cellStyle name="_Portfolio SPlan Base Case.xls Chart 1_Book2_Electric Rev Req Model (2009 GRC) Revised 01-18-2010" xfId="1528"/>
    <cellStyle name="_Portfolio SPlan Base Case.xls Chart 1_Book2_Electric Rev Req Model (2009 GRC) Revised 01-18-2010 2" xfId="1529"/>
    <cellStyle name="_Portfolio SPlan Base Case.xls Chart 1_Book2_Electric Rev Req Model (2009 GRC) Revised 01-18-2010 2 2" xfId="6481"/>
    <cellStyle name="_Portfolio SPlan Base Case.xls Chart 1_Book2_Electric Rev Req Model (2009 GRC) Revised 01-18-2010 3" xfId="6482"/>
    <cellStyle name="_Portfolio SPlan Base Case.xls Chart 1_Book2_Final Order Electric EXHIBIT A-1" xfId="1530"/>
    <cellStyle name="_Portfolio SPlan Base Case.xls Chart 1_Book2_Final Order Electric EXHIBIT A-1 2" xfId="3978"/>
    <cellStyle name="_Portfolio SPlan Base Case.xls Chart 1_Book2_Final Order Electric EXHIBIT A-1 2 2" xfId="6483"/>
    <cellStyle name="_Portfolio SPlan Base Case.xls Chart 1_Book2_Final Order Electric EXHIBIT A-1 3" xfId="6484"/>
    <cellStyle name="_Portfolio SPlan Base Case.xls Chart 1_Electric Rev Req Model (2009 GRC) " xfId="1531"/>
    <cellStyle name="_Portfolio SPlan Base Case.xls Chart 1_Electric Rev Req Model (2009 GRC)  2" xfId="1532"/>
    <cellStyle name="_Portfolio SPlan Base Case.xls Chart 1_Electric Rev Req Model (2009 GRC)  2 2" xfId="6485"/>
    <cellStyle name="_Portfolio SPlan Base Case.xls Chart 1_Electric Rev Req Model (2009 GRC)  3" xfId="6486"/>
    <cellStyle name="_Portfolio SPlan Base Case.xls Chart 1_Electric Rev Req Model (2009 GRC) Rebuttal" xfId="1533"/>
    <cellStyle name="_Portfolio SPlan Base Case.xls Chart 1_Electric Rev Req Model (2009 GRC) Rebuttal 2" xfId="3979"/>
    <cellStyle name="_Portfolio SPlan Base Case.xls Chart 1_Electric Rev Req Model (2009 GRC) Rebuttal 2 2" xfId="6487"/>
    <cellStyle name="_Portfolio SPlan Base Case.xls Chart 1_Electric Rev Req Model (2009 GRC) Rebuttal 3" xfId="6488"/>
    <cellStyle name="_Portfolio SPlan Base Case.xls Chart 1_Electric Rev Req Model (2009 GRC) Rebuttal REmoval of New  WH Solar AdjustMI" xfId="1534"/>
    <cellStyle name="_Portfolio SPlan Base Case.xls Chart 1_Electric Rev Req Model (2009 GRC) Rebuttal REmoval of New  WH Solar AdjustMI 2" xfId="1535"/>
    <cellStyle name="_Portfolio SPlan Base Case.xls Chart 1_Electric Rev Req Model (2009 GRC) Rebuttal REmoval of New  WH Solar AdjustMI 2 2" xfId="6489"/>
    <cellStyle name="_Portfolio SPlan Base Case.xls Chart 1_Electric Rev Req Model (2009 GRC) Rebuttal REmoval of New  WH Solar AdjustMI 3" xfId="6490"/>
    <cellStyle name="_Portfolio SPlan Base Case.xls Chart 1_Electric Rev Req Model (2009 GRC) Revised 01-18-2010" xfId="1536"/>
    <cellStyle name="_Portfolio SPlan Base Case.xls Chart 1_Electric Rev Req Model (2009 GRC) Revised 01-18-2010 2" xfId="1537"/>
    <cellStyle name="_Portfolio SPlan Base Case.xls Chart 1_Electric Rev Req Model (2009 GRC) Revised 01-18-2010 2 2" xfId="6491"/>
    <cellStyle name="_Portfolio SPlan Base Case.xls Chart 1_Electric Rev Req Model (2009 GRC) Revised 01-18-2010 3" xfId="6492"/>
    <cellStyle name="_Portfolio SPlan Base Case.xls Chart 1_Final Order Electric EXHIBIT A-1" xfId="1538"/>
    <cellStyle name="_Portfolio SPlan Base Case.xls Chart 1_Final Order Electric EXHIBIT A-1 2" xfId="3980"/>
    <cellStyle name="_Portfolio SPlan Base Case.xls Chart 1_Final Order Electric EXHIBIT A-1 2 2" xfId="6493"/>
    <cellStyle name="_Portfolio SPlan Base Case.xls Chart 1_Final Order Electric EXHIBIT A-1 3" xfId="6494"/>
    <cellStyle name="_Portfolio SPlan Base Case.xls Chart 1_NIM Summary" xfId="1539"/>
    <cellStyle name="_Portfolio SPlan Base Case.xls Chart 1_NIM Summary 2" xfId="1540"/>
    <cellStyle name="_Portfolio SPlan Base Case.xls Chart 1_Rebuttal Power Costs" xfId="1541"/>
    <cellStyle name="_Portfolio SPlan Base Case.xls Chart 1_Rebuttal Power Costs 2" xfId="1542"/>
    <cellStyle name="_Portfolio SPlan Base Case.xls Chart 1_Rebuttal Power Costs 2 2" xfId="6495"/>
    <cellStyle name="_Portfolio SPlan Base Case.xls Chart 1_Rebuttal Power Costs 3" xfId="6496"/>
    <cellStyle name="_Portfolio SPlan Base Case.xls Chart 1_Rebuttal Power Costs_Adj Bench DR 3 for Initial Briefs (Electric)" xfId="1543"/>
    <cellStyle name="_Portfolio SPlan Base Case.xls Chart 1_Rebuttal Power Costs_Adj Bench DR 3 for Initial Briefs (Electric) 2" xfId="1544"/>
    <cellStyle name="_Portfolio SPlan Base Case.xls Chart 1_Rebuttal Power Costs_Adj Bench DR 3 for Initial Briefs (Electric) 2 2" xfId="6497"/>
    <cellStyle name="_Portfolio SPlan Base Case.xls Chart 1_Rebuttal Power Costs_Adj Bench DR 3 for Initial Briefs (Electric) 3" xfId="6498"/>
    <cellStyle name="_Portfolio SPlan Base Case.xls Chart 1_Rebuttal Power Costs_Electric Rev Req Model (2009 GRC) Rebuttal" xfId="1545"/>
    <cellStyle name="_Portfolio SPlan Base Case.xls Chart 1_Rebuttal Power Costs_Electric Rev Req Model (2009 GRC) Rebuttal 2" xfId="3981"/>
    <cellStyle name="_Portfolio SPlan Base Case.xls Chart 1_Rebuttal Power Costs_Electric Rev Req Model (2009 GRC) Rebuttal 2 2" xfId="6499"/>
    <cellStyle name="_Portfolio SPlan Base Case.xls Chart 1_Rebuttal Power Costs_Electric Rev Req Model (2009 GRC) Rebuttal 3" xfId="6500"/>
    <cellStyle name="_Portfolio SPlan Base Case.xls Chart 1_Rebuttal Power Costs_Electric Rev Req Model (2009 GRC) Rebuttal REmoval of New  WH Solar AdjustMI" xfId="1546"/>
    <cellStyle name="_Portfolio SPlan Base Case.xls Chart 1_Rebuttal Power Costs_Electric Rev Req Model (2009 GRC) Rebuttal REmoval of New  WH Solar AdjustMI 2" xfId="1547"/>
    <cellStyle name="_Portfolio SPlan Base Case.xls Chart 1_Rebuttal Power Costs_Electric Rev Req Model (2009 GRC) Rebuttal REmoval of New  WH Solar AdjustMI 2 2" xfId="6501"/>
    <cellStyle name="_Portfolio SPlan Base Case.xls Chart 1_Rebuttal Power Costs_Electric Rev Req Model (2009 GRC) Rebuttal REmoval of New  WH Solar AdjustMI 3" xfId="6502"/>
    <cellStyle name="_Portfolio SPlan Base Case.xls Chart 1_Rebuttal Power Costs_Electric Rev Req Model (2009 GRC) Revised 01-18-2010" xfId="1548"/>
    <cellStyle name="_Portfolio SPlan Base Case.xls Chart 1_Rebuttal Power Costs_Electric Rev Req Model (2009 GRC) Revised 01-18-2010 2" xfId="1549"/>
    <cellStyle name="_Portfolio SPlan Base Case.xls Chart 1_Rebuttal Power Costs_Electric Rev Req Model (2009 GRC) Revised 01-18-2010 2 2" xfId="6503"/>
    <cellStyle name="_Portfolio SPlan Base Case.xls Chart 1_Rebuttal Power Costs_Electric Rev Req Model (2009 GRC) Revised 01-18-2010 3" xfId="6504"/>
    <cellStyle name="_Portfolio SPlan Base Case.xls Chart 1_Rebuttal Power Costs_Final Order Electric EXHIBIT A-1" xfId="1550"/>
    <cellStyle name="_Portfolio SPlan Base Case.xls Chart 1_Rebuttal Power Costs_Final Order Electric EXHIBIT A-1 2" xfId="3982"/>
    <cellStyle name="_Portfolio SPlan Base Case.xls Chart 1_Rebuttal Power Costs_Final Order Electric EXHIBIT A-1 2 2" xfId="6505"/>
    <cellStyle name="_Portfolio SPlan Base Case.xls Chart 1_Rebuttal Power Costs_Final Order Electric EXHIBIT A-1 3" xfId="6506"/>
    <cellStyle name="_Portfolio SPlan Base Case.xls Chart 1_TENASKA REGULATORY ASSET" xfId="1551"/>
    <cellStyle name="_Portfolio SPlan Base Case.xls Chart 1_TENASKA REGULATORY ASSET 2" xfId="3983"/>
    <cellStyle name="_Portfolio SPlan Base Case.xls Chart 1_TENASKA REGULATORY ASSET 2 2" xfId="6507"/>
    <cellStyle name="_Portfolio SPlan Base Case.xls Chart 1_TENASKA REGULATORY ASSET 3" xfId="6508"/>
    <cellStyle name="_Portfolio SPlan Base Case.xls Chart 2" xfId="1552"/>
    <cellStyle name="_Portfolio SPlan Base Case.xls Chart 2 2" xfId="1553"/>
    <cellStyle name="_Portfolio SPlan Base Case.xls Chart 2 2 2" xfId="6509"/>
    <cellStyle name="_Portfolio SPlan Base Case.xls Chart 2 3" xfId="6510"/>
    <cellStyle name="_Portfolio SPlan Base Case.xls Chart 2_Adj Bench DR 3 for Initial Briefs (Electric)" xfId="1554"/>
    <cellStyle name="_Portfolio SPlan Base Case.xls Chart 2_Adj Bench DR 3 for Initial Briefs (Electric) 2" xfId="1555"/>
    <cellStyle name="_Portfolio SPlan Base Case.xls Chart 2_Adj Bench DR 3 for Initial Briefs (Electric) 2 2" xfId="6511"/>
    <cellStyle name="_Portfolio SPlan Base Case.xls Chart 2_Adj Bench DR 3 for Initial Briefs (Electric) 3" xfId="6512"/>
    <cellStyle name="_Portfolio SPlan Base Case.xls Chart 2_Book2" xfId="1556"/>
    <cellStyle name="_Portfolio SPlan Base Case.xls Chart 2_Book2 2" xfId="1557"/>
    <cellStyle name="_Portfolio SPlan Base Case.xls Chart 2_Book2 2 2" xfId="6513"/>
    <cellStyle name="_Portfolio SPlan Base Case.xls Chart 2_Book2 3" xfId="6514"/>
    <cellStyle name="_Portfolio SPlan Base Case.xls Chart 2_Book2_Adj Bench DR 3 for Initial Briefs (Electric)" xfId="1558"/>
    <cellStyle name="_Portfolio SPlan Base Case.xls Chart 2_Book2_Adj Bench DR 3 for Initial Briefs (Electric) 2" xfId="1559"/>
    <cellStyle name="_Portfolio SPlan Base Case.xls Chart 2_Book2_Adj Bench DR 3 for Initial Briefs (Electric) 2 2" xfId="6515"/>
    <cellStyle name="_Portfolio SPlan Base Case.xls Chart 2_Book2_Adj Bench DR 3 for Initial Briefs (Electric) 3" xfId="6516"/>
    <cellStyle name="_Portfolio SPlan Base Case.xls Chart 2_Book2_Electric Rev Req Model (2009 GRC) Rebuttal" xfId="1560"/>
    <cellStyle name="_Portfolio SPlan Base Case.xls Chart 2_Book2_Electric Rev Req Model (2009 GRC) Rebuttal 2" xfId="3984"/>
    <cellStyle name="_Portfolio SPlan Base Case.xls Chart 2_Book2_Electric Rev Req Model (2009 GRC) Rebuttal 2 2" xfId="6517"/>
    <cellStyle name="_Portfolio SPlan Base Case.xls Chart 2_Book2_Electric Rev Req Model (2009 GRC) Rebuttal 3" xfId="6518"/>
    <cellStyle name="_Portfolio SPlan Base Case.xls Chart 2_Book2_Electric Rev Req Model (2009 GRC) Rebuttal REmoval of New  WH Solar AdjustMI" xfId="1561"/>
    <cellStyle name="_Portfolio SPlan Base Case.xls Chart 2_Book2_Electric Rev Req Model (2009 GRC) Rebuttal REmoval of New  WH Solar AdjustMI 2" xfId="1562"/>
    <cellStyle name="_Portfolio SPlan Base Case.xls Chart 2_Book2_Electric Rev Req Model (2009 GRC) Rebuttal REmoval of New  WH Solar AdjustMI 2 2" xfId="6519"/>
    <cellStyle name="_Portfolio SPlan Base Case.xls Chart 2_Book2_Electric Rev Req Model (2009 GRC) Rebuttal REmoval of New  WH Solar AdjustMI 3" xfId="6520"/>
    <cellStyle name="_Portfolio SPlan Base Case.xls Chart 2_Book2_Electric Rev Req Model (2009 GRC) Revised 01-18-2010" xfId="1563"/>
    <cellStyle name="_Portfolio SPlan Base Case.xls Chart 2_Book2_Electric Rev Req Model (2009 GRC) Revised 01-18-2010 2" xfId="1564"/>
    <cellStyle name="_Portfolio SPlan Base Case.xls Chart 2_Book2_Electric Rev Req Model (2009 GRC) Revised 01-18-2010 2 2" xfId="6521"/>
    <cellStyle name="_Portfolio SPlan Base Case.xls Chart 2_Book2_Electric Rev Req Model (2009 GRC) Revised 01-18-2010 3" xfId="6522"/>
    <cellStyle name="_Portfolio SPlan Base Case.xls Chart 2_Book2_Final Order Electric EXHIBIT A-1" xfId="1565"/>
    <cellStyle name="_Portfolio SPlan Base Case.xls Chart 2_Book2_Final Order Electric EXHIBIT A-1 2" xfId="3985"/>
    <cellStyle name="_Portfolio SPlan Base Case.xls Chart 2_Book2_Final Order Electric EXHIBIT A-1 2 2" xfId="6523"/>
    <cellStyle name="_Portfolio SPlan Base Case.xls Chart 2_Book2_Final Order Electric EXHIBIT A-1 3" xfId="6524"/>
    <cellStyle name="_Portfolio SPlan Base Case.xls Chart 2_Electric Rev Req Model (2009 GRC) " xfId="1566"/>
    <cellStyle name="_Portfolio SPlan Base Case.xls Chart 2_Electric Rev Req Model (2009 GRC)  2" xfId="1567"/>
    <cellStyle name="_Portfolio SPlan Base Case.xls Chart 2_Electric Rev Req Model (2009 GRC)  2 2" xfId="6525"/>
    <cellStyle name="_Portfolio SPlan Base Case.xls Chart 2_Electric Rev Req Model (2009 GRC)  3" xfId="6526"/>
    <cellStyle name="_Portfolio SPlan Base Case.xls Chart 2_Electric Rev Req Model (2009 GRC) Rebuttal" xfId="1568"/>
    <cellStyle name="_Portfolio SPlan Base Case.xls Chart 2_Electric Rev Req Model (2009 GRC) Rebuttal 2" xfId="3986"/>
    <cellStyle name="_Portfolio SPlan Base Case.xls Chart 2_Electric Rev Req Model (2009 GRC) Rebuttal 2 2" xfId="6527"/>
    <cellStyle name="_Portfolio SPlan Base Case.xls Chart 2_Electric Rev Req Model (2009 GRC) Rebuttal 3" xfId="6528"/>
    <cellStyle name="_Portfolio SPlan Base Case.xls Chart 2_Electric Rev Req Model (2009 GRC) Rebuttal REmoval of New  WH Solar AdjustMI" xfId="1569"/>
    <cellStyle name="_Portfolio SPlan Base Case.xls Chart 2_Electric Rev Req Model (2009 GRC) Rebuttal REmoval of New  WH Solar AdjustMI 2" xfId="1570"/>
    <cellStyle name="_Portfolio SPlan Base Case.xls Chart 2_Electric Rev Req Model (2009 GRC) Rebuttal REmoval of New  WH Solar AdjustMI 2 2" xfId="6529"/>
    <cellStyle name="_Portfolio SPlan Base Case.xls Chart 2_Electric Rev Req Model (2009 GRC) Rebuttal REmoval of New  WH Solar AdjustMI 3" xfId="6530"/>
    <cellStyle name="_Portfolio SPlan Base Case.xls Chart 2_Electric Rev Req Model (2009 GRC) Revised 01-18-2010" xfId="1571"/>
    <cellStyle name="_Portfolio SPlan Base Case.xls Chart 2_Electric Rev Req Model (2009 GRC) Revised 01-18-2010 2" xfId="1572"/>
    <cellStyle name="_Portfolio SPlan Base Case.xls Chart 2_Electric Rev Req Model (2009 GRC) Revised 01-18-2010 2 2" xfId="6531"/>
    <cellStyle name="_Portfolio SPlan Base Case.xls Chart 2_Electric Rev Req Model (2009 GRC) Revised 01-18-2010 3" xfId="6532"/>
    <cellStyle name="_Portfolio SPlan Base Case.xls Chart 2_Final Order Electric EXHIBIT A-1" xfId="1573"/>
    <cellStyle name="_Portfolio SPlan Base Case.xls Chart 2_Final Order Electric EXHIBIT A-1 2" xfId="3987"/>
    <cellStyle name="_Portfolio SPlan Base Case.xls Chart 2_Final Order Electric EXHIBIT A-1 2 2" xfId="6533"/>
    <cellStyle name="_Portfolio SPlan Base Case.xls Chart 2_Final Order Electric EXHIBIT A-1 3" xfId="6534"/>
    <cellStyle name="_Portfolio SPlan Base Case.xls Chart 2_NIM Summary" xfId="1574"/>
    <cellStyle name="_Portfolio SPlan Base Case.xls Chart 2_NIM Summary 2" xfId="1575"/>
    <cellStyle name="_Portfolio SPlan Base Case.xls Chart 2_Rebuttal Power Costs" xfId="1576"/>
    <cellStyle name="_Portfolio SPlan Base Case.xls Chart 2_Rebuttal Power Costs 2" xfId="1577"/>
    <cellStyle name="_Portfolio SPlan Base Case.xls Chart 2_Rebuttal Power Costs 2 2" xfId="6535"/>
    <cellStyle name="_Portfolio SPlan Base Case.xls Chart 2_Rebuttal Power Costs 3" xfId="6536"/>
    <cellStyle name="_Portfolio SPlan Base Case.xls Chart 2_Rebuttal Power Costs_Adj Bench DR 3 for Initial Briefs (Electric)" xfId="1578"/>
    <cellStyle name="_Portfolio SPlan Base Case.xls Chart 2_Rebuttal Power Costs_Adj Bench DR 3 for Initial Briefs (Electric) 2" xfId="1579"/>
    <cellStyle name="_Portfolio SPlan Base Case.xls Chart 2_Rebuttal Power Costs_Adj Bench DR 3 for Initial Briefs (Electric) 2 2" xfId="6537"/>
    <cellStyle name="_Portfolio SPlan Base Case.xls Chart 2_Rebuttal Power Costs_Adj Bench DR 3 for Initial Briefs (Electric) 3" xfId="6538"/>
    <cellStyle name="_Portfolio SPlan Base Case.xls Chart 2_Rebuttal Power Costs_Electric Rev Req Model (2009 GRC) Rebuttal" xfId="1580"/>
    <cellStyle name="_Portfolio SPlan Base Case.xls Chart 2_Rebuttal Power Costs_Electric Rev Req Model (2009 GRC) Rebuttal 2" xfId="3988"/>
    <cellStyle name="_Portfolio SPlan Base Case.xls Chart 2_Rebuttal Power Costs_Electric Rev Req Model (2009 GRC) Rebuttal 2 2" xfId="6539"/>
    <cellStyle name="_Portfolio SPlan Base Case.xls Chart 2_Rebuttal Power Costs_Electric Rev Req Model (2009 GRC) Rebuttal 3" xfId="6540"/>
    <cellStyle name="_Portfolio SPlan Base Case.xls Chart 2_Rebuttal Power Costs_Electric Rev Req Model (2009 GRC) Rebuttal REmoval of New  WH Solar AdjustMI" xfId="1581"/>
    <cellStyle name="_Portfolio SPlan Base Case.xls Chart 2_Rebuttal Power Costs_Electric Rev Req Model (2009 GRC) Rebuttal REmoval of New  WH Solar AdjustMI 2" xfId="1582"/>
    <cellStyle name="_Portfolio SPlan Base Case.xls Chart 2_Rebuttal Power Costs_Electric Rev Req Model (2009 GRC) Rebuttal REmoval of New  WH Solar AdjustMI 2 2" xfId="6541"/>
    <cellStyle name="_Portfolio SPlan Base Case.xls Chart 2_Rebuttal Power Costs_Electric Rev Req Model (2009 GRC) Rebuttal REmoval of New  WH Solar AdjustMI 3" xfId="6542"/>
    <cellStyle name="_Portfolio SPlan Base Case.xls Chart 2_Rebuttal Power Costs_Electric Rev Req Model (2009 GRC) Revised 01-18-2010" xfId="1583"/>
    <cellStyle name="_Portfolio SPlan Base Case.xls Chart 2_Rebuttal Power Costs_Electric Rev Req Model (2009 GRC) Revised 01-18-2010 2" xfId="1584"/>
    <cellStyle name="_Portfolio SPlan Base Case.xls Chart 2_Rebuttal Power Costs_Electric Rev Req Model (2009 GRC) Revised 01-18-2010 2 2" xfId="6543"/>
    <cellStyle name="_Portfolio SPlan Base Case.xls Chart 2_Rebuttal Power Costs_Electric Rev Req Model (2009 GRC) Revised 01-18-2010 3" xfId="6544"/>
    <cellStyle name="_Portfolio SPlan Base Case.xls Chart 2_Rebuttal Power Costs_Final Order Electric EXHIBIT A-1" xfId="1585"/>
    <cellStyle name="_Portfolio SPlan Base Case.xls Chart 2_Rebuttal Power Costs_Final Order Electric EXHIBIT A-1 2" xfId="3989"/>
    <cellStyle name="_Portfolio SPlan Base Case.xls Chart 2_Rebuttal Power Costs_Final Order Electric EXHIBIT A-1 2 2" xfId="6545"/>
    <cellStyle name="_Portfolio SPlan Base Case.xls Chart 2_Rebuttal Power Costs_Final Order Electric EXHIBIT A-1 3" xfId="6546"/>
    <cellStyle name="_Portfolio SPlan Base Case.xls Chart 2_TENASKA REGULATORY ASSET" xfId="1586"/>
    <cellStyle name="_Portfolio SPlan Base Case.xls Chart 2_TENASKA REGULATORY ASSET 2" xfId="3990"/>
    <cellStyle name="_Portfolio SPlan Base Case.xls Chart 2_TENASKA REGULATORY ASSET 2 2" xfId="6547"/>
    <cellStyle name="_Portfolio SPlan Base Case.xls Chart 2_TENASKA REGULATORY ASSET 3" xfId="6548"/>
    <cellStyle name="_Portfolio SPlan Base Case.xls Chart 3" xfId="1587"/>
    <cellStyle name="_Portfolio SPlan Base Case.xls Chart 3 2" xfId="1588"/>
    <cellStyle name="_Portfolio SPlan Base Case.xls Chart 3 2 2" xfId="6549"/>
    <cellStyle name="_Portfolio SPlan Base Case.xls Chart 3 3" xfId="6550"/>
    <cellStyle name="_Portfolio SPlan Base Case.xls Chart 3_Adj Bench DR 3 for Initial Briefs (Electric)" xfId="1589"/>
    <cellStyle name="_Portfolio SPlan Base Case.xls Chart 3_Adj Bench DR 3 for Initial Briefs (Electric) 2" xfId="1590"/>
    <cellStyle name="_Portfolio SPlan Base Case.xls Chart 3_Adj Bench DR 3 for Initial Briefs (Electric) 2 2" xfId="6551"/>
    <cellStyle name="_Portfolio SPlan Base Case.xls Chart 3_Adj Bench DR 3 for Initial Briefs (Electric) 3" xfId="6552"/>
    <cellStyle name="_Portfolio SPlan Base Case.xls Chart 3_Book2" xfId="1591"/>
    <cellStyle name="_Portfolio SPlan Base Case.xls Chart 3_Book2 2" xfId="1592"/>
    <cellStyle name="_Portfolio SPlan Base Case.xls Chart 3_Book2 2 2" xfId="6553"/>
    <cellStyle name="_Portfolio SPlan Base Case.xls Chart 3_Book2 3" xfId="6554"/>
    <cellStyle name="_Portfolio SPlan Base Case.xls Chart 3_Book2_Adj Bench DR 3 for Initial Briefs (Electric)" xfId="1593"/>
    <cellStyle name="_Portfolio SPlan Base Case.xls Chart 3_Book2_Adj Bench DR 3 for Initial Briefs (Electric) 2" xfId="1594"/>
    <cellStyle name="_Portfolio SPlan Base Case.xls Chart 3_Book2_Adj Bench DR 3 for Initial Briefs (Electric) 2 2" xfId="6555"/>
    <cellStyle name="_Portfolio SPlan Base Case.xls Chart 3_Book2_Adj Bench DR 3 for Initial Briefs (Electric) 3" xfId="6556"/>
    <cellStyle name="_Portfolio SPlan Base Case.xls Chart 3_Book2_Electric Rev Req Model (2009 GRC) Rebuttal" xfId="1595"/>
    <cellStyle name="_Portfolio SPlan Base Case.xls Chart 3_Book2_Electric Rev Req Model (2009 GRC) Rebuttal 2" xfId="3991"/>
    <cellStyle name="_Portfolio SPlan Base Case.xls Chart 3_Book2_Electric Rev Req Model (2009 GRC) Rebuttal 2 2" xfId="6557"/>
    <cellStyle name="_Portfolio SPlan Base Case.xls Chart 3_Book2_Electric Rev Req Model (2009 GRC) Rebuttal 3" xfId="6558"/>
    <cellStyle name="_Portfolio SPlan Base Case.xls Chart 3_Book2_Electric Rev Req Model (2009 GRC) Rebuttal REmoval of New  WH Solar AdjustMI" xfId="1596"/>
    <cellStyle name="_Portfolio SPlan Base Case.xls Chart 3_Book2_Electric Rev Req Model (2009 GRC) Rebuttal REmoval of New  WH Solar AdjustMI 2" xfId="1597"/>
    <cellStyle name="_Portfolio SPlan Base Case.xls Chart 3_Book2_Electric Rev Req Model (2009 GRC) Rebuttal REmoval of New  WH Solar AdjustMI 2 2" xfId="6559"/>
    <cellStyle name="_Portfolio SPlan Base Case.xls Chart 3_Book2_Electric Rev Req Model (2009 GRC) Rebuttal REmoval of New  WH Solar AdjustMI 3" xfId="6560"/>
    <cellStyle name="_Portfolio SPlan Base Case.xls Chart 3_Book2_Electric Rev Req Model (2009 GRC) Revised 01-18-2010" xfId="1598"/>
    <cellStyle name="_Portfolio SPlan Base Case.xls Chart 3_Book2_Electric Rev Req Model (2009 GRC) Revised 01-18-2010 2" xfId="1599"/>
    <cellStyle name="_Portfolio SPlan Base Case.xls Chart 3_Book2_Electric Rev Req Model (2009 GRC) Revised 01-18-2010 2 2" xfId="6561"/>
    <cellStyle name="_Portfolio SPlan Base Case.xls Chart 3_Book2_Electric Rev Req Model (2009 GRC) Revised 01-18-2010 3" xfId="6562"/>
    <cellStyle name="_Portfolio SPlan Base Case.xls Chart 3_Book2_Final Order Electric EXHIBIT A-1" xfId="1600"/>
    <cellStyle name="_Portfolio SPlan Base Case.xls Chart 3_Book2_Final Order Electric EXHIBIT A-1 2" xfId="3992"/>
    <cellStyle name="_Portfolio SPlan Base Case.xls Chart 3_Book2_Final Order Electric EXHIBIT A-1 2 2" xfId="6563"/>
    <cellStyle name="_Portfolio SPlan Base Case.xls Chart 3_Book2_Final Order Electric EXHIBIT A-1 3" xfId="6564"/>
    <cellStyle name="_Portfolio SPlan Base Case.xls Chart 3_Electric Rev Req Model (2009 GRC) " xfId="1601"/>
    <cellStyle name="_Portfolio SPlan Base Case.xls Chart 3_Electric Rev Req Model (2009 GRC)  2" xfId="1602"/>
    <cellStyle name="_Portfolio SPlan Base Case.xls Chart 3_Electric Rev Req Model (2009 GRC)  2 2" xfId="6565"/>
    <cellStyle name="_Portfolio SPlan Base Case.xls Chart 3_Electric Rev Req Model (2009 GRC)  3" xfId="6566"/>
    <cellStyle name="_Portfolio SPlan Base Case.xls Chart 3_Electric Rev Req Model (2009 GRC) Rebuttal" xfId="1603"/>
    <cellStyle name="_Portfolio SPlan Base Case.xls Chart 3_Electric Rev Req Model (2009 GRC) Rebuttal 2" xfId="3993"/>
    <cellStyle name="_Portfolio SPlan Base Case.xls Chart 3_Electric Rev Req Model (2009 GRC) Rebuttal 2 2" xfId="6567"/>
    <cellStyle name="_Portfolio SPlan Base Case.xls Chart 3_Electric Rev Req Model (2009 GRC) Rebuttal 3" xfId="6568"/>
    <cellStyle name="_Portfolio SPlan Base Case.xls Chart 3_Electric Rev Req Model (2009 GRC) Rebuttal REmoval of New  WH Solar AdjustMI" xfId="1604"/>
    <cellStyle name="_Portfolio SPlan Base Case.xls Chart 3_Electric Rev Req Model (2009 GRC) Rebuttal REmoval of New  WH Solar AdjustMI 2" xfId="1605"/>
    <cellStyle name="_Portfolio SPlan Base Case.xls Chart 3_Electric Rev Req Model (2009 GRC) Rebuttal REmoval of New  WH Solar AdjustMI 2 2" xfId="6569"/>
    <cellStyle name="_Portfolio SPlan Base Case.xls Chart 3_Electric Rev Req Model (2009 GRC) Rebuttal REmoval of New  WH Solar AdjustMI 3" xfId="6570"/>
    <cellStyle name="_Portfolio SPlan Base Case.xls Chart 3_Electric Rev Req Model (2009 GRC) Revised 01-18-2010" xfId="1606"/>
    <cellStyle name="_Portfolio SPlan Base Case.xls Chart 3_Electric Rev Req Model (2009 GRC) Revised 01-18-2010 2" xfId="1607"/>
    <cellStyle name="_Portfolio SPlan Base Case.xls Chart 3_Electric Rev Req Model (2009 GRC) Revised 01-18-2010 2 2" xfId="6571"/>
    <cellStyle name="_Portfolio SPlan Base Case.xls Chart 3_Electric Rev Req Model (2009 GRC) Revised 01-18-2010 3" xfId="6572"/>
    <cellStyle name="_Portfolio SPlan Base Case.xls Chart 3_Final Order Electric EXHIBIT A-1" xfId="1608"/>
    <cellStyle name="_Portfolio SPlan Base Case.xls Chart 3_Final Order Electric EXHIBIT A-1 2" xfId="3994"/>
    <cellStyle name="_Portfolio SPlan Base Case.xls Chart 3_Final Order Electric EXHIBIT A-1 2 2" xfId="6573"/>
    <cellStyle name="_Portfolio SPlan Base Case.xls Chart 3_Final Order Electric EXHIBIT A-1 3" xfId="6574"/>
    <cellStyle name="_Portfolio SPlan Base Case.xls Chart 3_NIM Summary" xfId="1609"/>
    <cellStyle name="_Portfolio SPlan Base Case.xls Chart 3_NIM Summary 2" xfId="1610"/>
    <cellStyle name="_Portfolio SPlan Base Case.xls Chart 3_Rebuttal Power Costs" xfId="1611"/>
    <cellStyle name="_Portfolio SPlan Base Case.xls Chart 3_Rebuttal Power Costs 2" xfId="1612"/>
    <cellStyle name="_Portfolio SPlan Base Case.xls Chart 3_Rebuttal Power Costs 2 2" xfId="6575"/>
    <cellStyle name="_Portfolio SPlan Base Case.xls Chart 3_Rebuttal Power Costs 3" xfId="6576"/>
    <cellStyle name="_Portfolio SPlan Base Case.xls Chart 3_Rebuttal Power Costs_Adj Bench DR 3 for Initial Briefs (Electric)" xfId="1613"/>
    <cellStyle name="_Portfolio SPlan Base Case.xls Chart 3_Rebuttal Power Costs_Adj Bench DR 3 for Initial Briefs (Electric) 2" xfId="1614"/>
    <cellStyle name="_Portfolio SPlan Base Case.xls Chart 3_Rebuttal Power Costs_Adj Bench DR 3 for Initial Briefs (Electric) 2 2" xfId="6577"/>
    <cellStyle name="_Portfolio SPlan Base Case.xls Chart 3_Rebuttal Power Costs_Adj Bench DR 3 for Initial Briefs (Electric) 3" xfId="6578"/>
    <cellStyle name="_Portfolio SPlan Base Case.xls Chart 3_Rebuttal Power Costs_Electric Rev Req Model (2009 GRC) Rebuttal" xfId="1615"/>
    <cellStyle name="_Portfolio SPlan Base Case.xls Chart 3_Rebuttal Power Costs_Electric Rev Req Model (2009 GRC) Rebuttal 2" xfId="3995"/>
    <cellStyle name="_Portfolio SPlan Base Case.xls Chart 3_Rebuttal Power Costs_Electric Rev Req Model (2009 GRC) Rebuttal 2 2" xfId="6579"/>
    <cellStyle name="_Portfolio SPlan Base Case.xls Chart 3_Rebuttal Power Costs_Electric Rev Req Model (2009 GRC) Rebuttal 3" xfId="6580"/>
    <cellStyle name="_Portfolio SPlan Base Case.xls Chart 3_Rebuttal Power Costs_Electric Rev Req Model (2009 GRC) Rebuttal REmoval of New  WH Solar AdjustMI" xfId="1616"/>
    <cellStyle name="_Portfolio SPlan Base Case.xls Chart 3_Rebuttal Power Costs_Electric Rev Req Model (2009 GRC) Rebuttal REmoval of New  WH Solar AdjustMI 2" xfId="1617"/>
    <cellStyle name="_Portfolio SPlan Base Case.xls Chart 3_Rebuttal Power Costs_Electric Rev Req Model (2009 GRC) Rebuttal REmoval of New  WH Solar AdjustMI 2 2" xfId="6581"/>
    <cellStyle name="_Portfolio SPlan Base Case.xls Chart 3_Rebuttal Power Costs_Electric Rev Req Model (2009 GRC) Rebuttal REmoval of New  WH Solar AdjustMI 3" xfId="6582"/>
    <cellStyle name="_Portfolio SPlan Base Case.xls Chart 3_Rebuttal Power Costs_Electric Rev Req Model (2009 GRC) Revised 01-18-2010" xfId="1618"/>
    <cellStyle name="_Portfolio SPlan Base Case.xls Chart 3_Rebuttal Power Costs_Electric Rev Req Model (2009 GRC) Revised 01-18-2010 2" xfId="1619"/>
    <cellStyle name="_Portfolio SPlan Base Case.xls Chart 3_Rebuttal Power Costs_Electric Rev Req Model (2009 GRC) Revised 01-18-2010 2 2" xfId="6583"/>
    <cellStyle name="_Portfolio SPlan Base Case.xls Chart 3_Rebuttal Power Costs_Electric Rev Req Model (2009 GRC) Revised 01-18-2010 3" xfId="6584"/>
    <cellStyle name="_Portfolio SPlan Base Case.xls Chart 3_Rebuttal Power Costs_Final Order Electric EXHIBIT A-1" xfId="1620"/>
    <cellStyle name="_Portfolio SPlan Base Case.xls Chart 3_Rebuttal Power Costs_Final Order Electric EXHIBIT A-1 2" xfId="3996"/>
    <cellStyle name="_Portfolio SPlan Base Case.xls Chart 3_Rebuttal Power Costs_Final Order Electric EXHIBIT A-1 2 2" xfId="6585"/>
    <cellStyle name="_Portfolio SPlan Base Case.xls Chart 3_Rebuttal Power Costs_Final Order Electric EXHIBIT A-1 3" xfId="6586"/>
    <cellStyle name="_Portfolio SPlan Base Case.xls Chart 3_TENASKA REGULATORY ASSET" xfId="1621"/>
    <cellStyle name="_Portfolio SPlan Base Case.xls Chart 3_TENASKA REGULATORY ASSET 2" xfId="3997"/>
    <cellStyle name="_Portfolio SPlan Base Case.xls Chart 3_TENASKA REGULATORY ASSET 2 2" xfId="6587"/>
    <cellStyle name="_Portfolio SPlan Base Case.xls Chart 3_TENASKA REGULATORY ASSET 3" xfId="6588"/>
    <cellStyle name="_Power Cost Value Copy 11.30.05 gas 1.09.06 AURORA at 1.10.06" xfId="1622"/>
    <cellStyle name="_Power Cost Value Copy 11.30.05 gas 1.09.06 AURORA at 1.10.06 2" xfId="1623"/>
    <cellStyle name="_Power Cost Value Copy 11.30.05 gas 1.09.06 AURORA at 1.10.06 2 2" xfId="1624"/>
    <cellStyle name="_Power Cost Value Copy 11.30.05 gas 1.09.06 AURORA at 1.10.06 2 2 2" xfId="6589"/>
    <cellStyle name="_Power Cost Value Copy 11.30.05 gas 1.09.06 AURORA at 1.10.06 2 3" xfId="6590"/>
    <cellStyle name="_Power Cost Value Copy 11.30.05 gas 1.09.06 AURORA at 1.10.06 3" xfId="1625"/>
    <cellStyle name="_Power Cost Value Copy 11.30.05 gas 1.09.06 AURORA at 1.10.06 3 2" xfId="6591"/>
    <cellStyle name="_Power Cost Value Copy 11.30.05 gas 1.09.06 AURORA at 1.10.06 4" xfId="1626"/>
    <cellStyle name="_Power Cost Value Copy 11.30.05 gas 1.09.06 AURORA at 1.10.06 4 2" xfId="3371"/>
    <cellStyle name="_Power Cost Value Copy 11.30.05 gas 1.09.06 AURORA at 1.10.06_04 07E Wild Horse Wind Expansion (C) (2)" xfId="1627"/>
    <cellStyle name="_Power Cost Value Copy 11.30.05 gas 1.09.06 AURORA at 1.10.06_04 07E Wild Horse Wind Expansion (C) (2) 2" xfId="1628"/>
    <cellStyle name="_Power Cost Value Copy 11.30.05 gas 1.09.06 AURORA at 1.10.06_04 07E Wild Horse Wind Expansion (C) (2) 2 2" xfId="6592"/>
    <cellStyle name="_Power Cost Value Copy 11.30.05 gas 1.09.06 AURORA at 1.10.06_04 07E Wild Horse Wind Expansion (C) (2) 3" xfId="6593"/>
    <cellStyle name="_Power Cost Value Copy 11.30.05 gas 1.09.06 AURORA at 1.10.06_04 07E Wild Horse Wind Expansion (C) (2)_Adj Bench DR 3 for Initial Briefs (Electric)" xfId="1629"/>
    <cellStyle name="_Power Cost Value Copy 11.30.05 gas 1.09.06 AURORA at 1.10.06_04 07E Wild Horse Wind Expansion (C) (2)_Adj Bench DR 3 for Initial Briefs (Electric) 2" xfId="1630"/>
    <cellStyle name="_Power Cost Value Copy 11.30.05 gas 1.09.06 AURORA at 1.10.06_04 07E Wild Horse Wind Expansion (C) (2)_Adj Bench DR 3 for Initial Briefs (Electric) 2 2" xfId="6594"/>
    <cellStyle name="_Power Cost Value Copy 11.30.05 gas 1.09.06 AURORA at 1.10.06_04 07E Wild Horse Wind Expansion (C) (2)_Adj Bench DR 3 for Initial Briefs (Electric) 3" xfId="6595"/>
    <cellStyle name="_Power Cost Value Copy 11.30.05 gas 1.09.06 AURORA at 1.10.06_04 07E Wild Horse Wind Expansion (C) (2)_Electric Rev Req Model (2009 GRC) " xfId="1631"/>
    <cellStyle name="_Power Cost Value Copy 11.30.05 gas 1.09.06 AURORA at 1.10.06_04 07E Wild Horse Wind Expansion (C) (2)_Electric Rev Req Model (2009 GRC)  2" xfId="1632"/>
    <cellStyle name="_Power Cost Value Copy 11.30.05 gas 1.09.06 AURORA at 1.10.06_04 07E Wild Horse Wind Expansion (C) (2)_Electric Rev Req Model (2009 GRC)  2 2" xfId="6596"/>
    <cellStyle name="_Power Cost Value Copy 11.30.05 gas 1.09.06 AURORA at 1.10.06_04 07E Wild Horse Wind Expansion (C) (2)_Electric Rev Req Model (2009 GRC)  3" xfId="6597"/>
    <cellStyle name="_Power Cost Value Copy 11.30.05 gas 1.09.06 AURORA at 1.10.06_04 07E Wild Horse Wind Expansion (C) (2)_Electric Rev Req Model (2009 GRC) Rebuttal" xfId="1633"/>
    <cellStyle name="_Power Cost Value Copy 11.30.05 gas 1.09.06 AURORA at 1.10.06_04 07E Wild Horse Wind Expansion (C) (2)_Electric Rev Req Model (2009 GRC) Rebuttal 2" xfId="3998"/>
    <cellStyle name="_Power Cost Value Copy 11.30.05 gas 1.09.06 AURORA at 1.10.06_04 07E Wild Horse Wind Expansion (C) (2)_Electric Rev Req Model (2009 GRC) Rebuttal 2 2" xfId="6598"/>
    <cellStyle name="_Power Cost Value Copy 11.30.05 gas 1.09.06 AURORA at 1.10.06_04 07E Wild Horse Wind Expansion (C) (2)_Electric Rev Req Model (2009 GRC) Rebuttal 3" xfId="6599"/>
    <cellStyle name="_Power Cost Value Copy 11.30.05 gas 1.09.06 AURORA at 1.10.06_04 07E Wild Horse Wind Expansion (C) (2)_Electric Rev Req Model (2009 GRC) Rebuttal REmoval of New  WH Solar AdjustMI" xfId="1634"/>
    <cellStyle name="_Power Cost Value Copy 11.30.05 gas 1.09.06 AURORA at 1.10.06_04 07E Wild Horse Wind Expansion (C) (2)_Electric Rev Req Model (2009 GRC) Rebuttal REmoval of New  WH Solar AdjustMI 2" xfId="1635"/>
    <cellStyle name="_Power Cost Value Copy 11.30.05 gas 1.09.06 AURORA at 1.10.06_04 07E Wild Horse Wind Expansion (C) (2)_Electric Rev Req Model (2009 GRC) Rebuttal REmoval of New  WH Solar AdjustMI 2 2" xfId="6600"/>
    <cellStyle name="_Power Cost Value Copy 11.30.05 gas 1.09.06 AURORA at 1.10.06_04 07E Wild Horse Wind Expansion (C) (2)_Electric Rev Req Model (2009 GRC) Rebuttal REmoval of New  WH Solar AdjustMI 3" xfId="6601"/>
    <cellStyle name="_Power Cost Value Copy 11.30.05 gas 1.09.06 AURORA at 1.10.06_04 07E Wild Horse Wind Expansion (C) (2)_Electric Rev Req Model (2009 GRC) Revised 01-18-2010" xfId="1636"/>
    <cellStyle name="_Power Cost Value Copy 11.30.05 gas 1.09.06 AURORA at 1.10.06_04 07E Wild Horse Wind Expansion (C) (2)_Electric Rev Req Model (2009 GRC) Revised 01-18-2010 2" xfId="1637"/>
    <cellStyle name="_Power Cost Value Copy 11.30.05 gas 1.09.06 AURORA at 1.10.06_04 07E Wild Horse Wind Expansion (C) (2)_Electric Rev Req Model (2009 GRC) Revised 01-18-2010 2 2" xfId="6602"/>
    <cellStyle name="_Power Cost Value Copy 11.30.05 gas 1.09.06 AURORA at 1.10.06_04 07E Wild Horse Wind Expansion (C) (2)_Electric Rev Req Model (2009 GRC) Revised 01-18-2010 3" xfId="6603"/>
    <cellStyle name="_Power Cost Value Copy 11.30.05 gas 1.09.06 AURORA at 1.10.06_04 07E Wild Horse Wind Expansion (C) (2)_Final Order Electric EXHIBIT A-1" xfId="1638"/>
    <cellStyle name="_Power Cost Value Copy 11.30.05 gas 1.09.06 AURORA at 1.10.06_04 07E Wild Horse Wind Expansion (C) (2)_Final Order Electric EXHIBIT A-1 2" xfId="3999"/>
    <cellStyle name="_Power Cost Value Copy 11.30.05 gas 1.09.06 AURORA at 1.10.06_04 07E Wild Horse Wind Expansion (C) (2)_Final Order Electric EXHIBIT A-1 2 2" xfId="6604"/>
    <cellStyle name="_Power Cost Value Copy 11.30.05 gas 1.09.06 AURORA at 1.10.06_04 07E Wild Horse Wind Expansion (C) (2)_Final Order Electric EXHIBIT A-1 3" xfId="6605"/>
    <cellStyle name="_Power Cost Value Copy 11.30.05 gas 1.09.06 AURORA at 1.10.06_04 07E Wild Horse Wind Expansion (C) (2)_TENASKA REGULATORY ASSET" xfId="1639"/>
    <cellStyle name="_Power Cost Value Copy 11.30.05 gas 1.09.06 AURORA at 1.10.06_04 07E Wild Horse Wind Expansion (C) (2)_TENASKA REGULATORY ASSET 2" xfId="4000"/>
    <cellStyle name="_Power Cost Value Copy 11.30.05 gas 1.09.06 AURORA at 1.10.06_04 07E Wild Horse Wind Expansion (C) (2)_TENASKA REGULATORY ASSET 2 2" xfId="6606"/>
    <cellStyle name="_Power Cost Value Copy 11.30.05 gas 1.09.06 AURORA at 1.10.06_04 07E Wild Horse Wind Expansion (C) (2)_TENASKA REGULATORY ASSET 3" xfId="6607"/>
    <cellStyle name="_Power Cost Value Copy 11.30.05 gas 1.09.06 AURORA at 1.10.06_16.37E Wild Horse Expansion DeferralRevwrkingfile SF" xfId="1640"/>
    <cellStyle name="_Power Cost Value Copy 11.30.05 gas 1.09.06 AURORA at 1.10.06_16.37E Wild Horse Expansion DeferralRevwrkingfile SF 2" xfId="1641"/>
    <cellStyle name="_Power Cost Value Copy 11.30.05 gas 1.09.06 AURORA at 1.10.06_16.37E Wild Horse Expansion DeferralRevwrkingfile SF 2 2" xfId="6608"/>
    <cellStyle name="_Power Cost Value Copy 11.30.05 gas 1.09.06 AURORA at 1.10.06_16.37E Wild Horse Expansion DeferralRevwrkingfile SF 3" xfId="6609"/>
    <cellStyle name="_Power Cost Value Copy 11.30.05 gas 1.09.06 AURORA at 1.10.06_2009 GRC Compl Filing - Exhibit D" xfId="1642"/>
    <cellStyle name="_Power Cost Value Copy 11.30.05 gas 1.09.06 AURORA at 1.10.06_2009 GRC Compl Filing - Exhibit D 2" xfId="1643"/>
    <cellStyle name="_Power Cost Value Copy 11.30.05 gas 1.09.06 AURORA at 1.10.06_4 31 Regulatory Assets and Liabilities  7 06- Exhibit D" xfId="1644"/>
    <cellStyle name="_Power Cost Value Copy 11.30.05 gas 1.09.06 AURORA at 1.10.06_4 31 Regulatory Assets and Liabilities  7 06- Exhibit D 2" xfId="1645"/>
    <cellStyle name="_Power Cost Value Copy 11.30.05 gas 1.09.06 AURORA at 1.10.06_4 31 Regulatory Assets and Liabilities  7 06- Exhibit D 2 2" xfId="6610"/>
    <cellStyle name="_Power Cost Value Copy 11.30.05 gas 1.09.06 AURORA at 1.10.06_4 31 Regulatory Assets and Liabilities  7 06- Exhibit D 3" xfId="6611"/>
    <cellStyle name="_Power Cost Value Copy 11.30.05 gas 1.09.06 AURORA at 1.10.06_4 31 Regulatory Assets and Liabilities  7 06- Exhibit D_NIM Summary" xfId="1646"/>
    <cellStyle name="_Power Cost Value Copy 11.30.05 gas 1.09.06 AURORA at 1.10.06_4 31 Regulatory Assets and Liabilities  7 06- Exhibit D_NIM Summary 2" xfId="1647"/>
    <cellStyle name="_Power Cost Value Copy 11.30.05 gas 1.09.06 AURORA at 1.10.06_4 32 Regulatory Assets and Liabilities  7 06- Exhibit D" xfId="1648"/>
    <cellStyle name="_Power Cost Value Copy 11.30.05 gas 1.09.06 AURORA at 1.10.06_4 32 Regulatory Assets and Liabilities  7 06- Exhibit D 2" xfId="1649"/>
    <cellStyle name="_Power Cost Value Copy 11.30.05 gas 1.09.06 AURORA at 1.10.06_4 32 Regulatory Assets and Liabilities  7 06- Exhibit D 2 2" xfId="6612"/>
    <cellStyle name="_Power Cost Value Copy 11.30.05 gas 1.09.06 AURORA at 1.10.06_4 32 Regulatory Assets and Liabilities  7 06- Exhibit D 3" xfId="6613"/>
    <cellStyle name="_Power Cost Value Copy 11.30.05 gas 1.09.06 AURORA at 1.10.06_4 32 Regulatory Assets and Liabilities  7 06- Exhibit D_NIM Summary" xfId="1650"/>
    <cellStyle name="_Power Cost Value Copy 11.30.05 gas 1.09.06 AURORA at 1.10.06_4 32 Regulatory Assets and Liabilities  7 06- Exhibit D_NIM Summary 2" xfId="1651"/>
    <cellStyle name="_Power Cost Value Copy 11.30.05 gas 1.09.06 AURORA at 1.10.06_AURORA Total New" xfId="1652"/>
    <cellStyle name="_Power Cost Value Copy 11.30.05 gas 1.09.06 AURORA at 1.10.06_AURORA Total New 2" xfId="1653"/>
    <cellStyle name="_Power Cost Value Copy 11.30.05 gas 1.09.06 AURORA at 1.10.06_Book2" xfId="1654"/>
    <cellStyle name="_Power Cost Value Copy 11.30.05 gas 1.09.06 AURORA at 1.10.06_Book2 2" xfId="1655"/>
    <cellStyle name="_Power Cost Value Copy 11.30.05 gas 1.09.06 AURORA at 1.10.06_Book2 2 2" xfId="6614"/>
    <cellStyle name="_Power Cost Value Copy 11.30.05 gas 1.09.06 AURORA at 1.10.06_Book2 3" xfId="6615"/>
    <cellStyle name="_Power Cost Value Copy 11.30.05 gas 1.09.06 AURORA at 1.10.06_Book2_Adj Bench DR 3 for Initial Briefs (Electric)" xfId="1656"/>
    <cellStyle name="_Power Cost Value Copy 11.30.05 gas 1.09.06 AURORA at 1.10.06_Book2_Adj Bench DR 3 for Initial Briefs (Electric) 2" xfId="1657"/>
    <cellStyle name="_Power Cost Value Copy 11.30.05 gas 1.09.06 AURORA at 1.10.06_Book2_Adj Bench DR 3 for Initial Briefs (Electric) 2 2" xfId="6616"/>
    <cellStyle name="_Power Cost Value Copy 11.30.05 gas 1.09.06 AURORA at 1.10.06_Book2_Adj Bench DR 3 for Initial Briefs (Electric) 3" xfId="6617"/>
    <cellStyle name="_Power Cost Value Copy 11.30.05 gas 1.09.06 AURORA at 1.10.06_Book2_Electric Rev Req Model (2009 GRC) Rebuttal" xfId="1658"/>
    <cellStyle name="_Power Cost Value Copy 11.30.05 gas 1.09.06 AURORA at 1.10.06_Book2_Electric Rev Req Model (2009 GRC) Rebuttal 2" xfId="4001"/>
    <cellStyle name="_Power Cost Value Copy 11.30.05 gas 1.09.06 AURORA at 1.10.06_Book2_Electric Rev Req Model (2009 GRC) Rebuttal 2 2" xfId="6618"/>
    <cellStyle name="_Power Cost Value Copy 11.30.05 gas 1.09.06 AURORA at 1.10.06_Book2_Electric Rev Req Model (2009 GRC) Rebuttal 3" xfId="6619"/>
    <cellStyle name="_Power Cost Value Copy 11.30.05 gas 1.09.06 AURORA at 1.10.06_Book2_Electric Rev Req Model (2009 GRC) Rebuttal REmoval of New  WH Solar AdjustMI" xfId="1659"/>
    <cellStyle name="_Power Cost Value Copy 11.30.05 gas 1.09.06 AURORA at 1.10.06_Book2_Electric Rev Req Model (2009 GRC) Rebuttal REmoval of New  WH Solar AdjustMI 2" xfId="1660"/>
    <cellStyle name="_Power Cost Value Copy 11.30.05 gas 1.09.06 AURORA at 1.10.06_Book2_Electric Rev Req Model (2009 GRC) Rebuttal REmoval of New  WH Solar AdjustMI 2 2" xfId="6620"/>
    <cellStyle name="_Power Cost Value Copy 11.30.05 gas 1.09.06 AURORA at 1.10.06_Book2_Electric Rev Req Model (2009 GRC) Rebuttal REmoval of New  WH Solar AdjustMI 3" xfId="6621"/>
    <cellStyle name="_Power Cost Value Copy 11.30.05 gas 1.09.06 AURORA at 1.10.06_Book2_Electric Rev Req Model (2009 GRC) Revised 01-18-2010" xfId="1661"/>
    <cellStyle name="_Power Cost Value Copy 11.30.05 gas 1.09.06 AURORA at 1.10.06_Book2_Electric Rev Req Model (2009 GRC) Revised 01-18-2010 2" xfId="1662"/>
    <cellStyle name="_Power Cost Value Copy 11.30.05 gas 1.09.06 AURORA at 1.10.06_Book2_Electric Rev Req Model (2009 GRC) Revised 01-18-2010 2 2" xfId="6622"/>
    <cellStyle name="_Power Cost Value Copy 11.30.05 gas 1.09.06 AURORA at 1.10.06_Book2_Electric Rev Req Model (2009 GRC) Revised 01-18-2010 3" xfId="6623"/>
    <cellStyle name="_Power Cost Value Copy 11.30.05 gas 1.09.06 AURORA at 1.10.06_Book2_Final Order Electric EXHIBIT A-1" xfId="1663"/>
    <cellStyle name="_Power Cost Value Copy 11.30.05 gas 1.09.06 AURORA at 1.10.06_Book2_Final Order Electric EXHIBIT A-1 2" xfId="4002"/>
    <cellStyle name="_Power Cost Value Copy 11.30.05 gas 1.09.06 AURORA at 1.10.06_Book2_Final Order Electric EXHIBIT A-1 2 2" xfId="6624"/>
    <cellStyle name="_Power Cost Value Copy 11.30.05 gas 1.09.06 AURORA at 1.10.06_Book2_Final Order Electric EXHIBIT A-1 3" xfId="6625"/>
    <cellStyle name="_Power Cost Value Copy 11.30.05 gas 1.09.06 AURORA at 1.10.06_Book4" xfId="1664"/>
    <cellStyle name="_Power Cost Value Copy 11.30.05 gas 1.09.06 AURORA at 1.10.06_Book4 2" xfId="1665"/>
    <cellStyle name="_Power Cost Value Copy 11.30.05 gas 1.09.06 AURORA at 1.10.06_Book4 2 2" xfId="6626"/>
    <cellStyle name="_Power Cost Value Copy 11.30.05 gas 1.09.06 AURORA at 1.10.06_Book4 3" xfId="6627"/>
    <cellStyle name="_Power Cost Value Copy 11.30.05 gas 1.09.06 AURORA at 1.10.06_Book9" xfId="1666"/>
    <cellStyle name="_Power Cost Value Copy 11.30.05 gas 1.09.06 AURORA at 1.10.06_Book9 2" xfId="1667"/>
    <cellStyle name="_Power Cost Value Copy 11.30.05 gas 1.09.06 AURORA at 1.10.06_Book9 2 2" xfId="6628"/>
    <cellStyle name="_Power Cost Value Copy 11.30.05 gas 1.09.06 AURORA at 1.10.06_Book9 3" xfId="6629"/>
    <cellStyle name="_Power Cost Value Copy 11.30.05 gas 1.09.06 AURORA at 1.10.06_Direct Assignment Distribution Plant 2008" xfId="4003"/>
    <cellStyle name="_Power Cost Value Copy 11.30.05 gas 1.09.06 AURORA at 1.10.06_Direct Assignment Distribution Plant 2008 2" xfId="4004"/>
    <cellStyle name="_Power Cost Value Copy 11.30.05 gas 1.09.06 AURORA at 1.10.06_Direct Assignment Distribution Plant 2008 2 2" xfId="4005"/>
    <cellStyle name="_Power Cost Value Copy 11.30.05 gas 1.09.06 AURORA at 1.10.06_Direct Assignment Distribution Plant 2008 2 2 2" xfId="6630"/>
    <cellStyle name="_Power Cost Value Copy 11.30.05 gas 1.09.06 AURORA at 1.10.06_Direct Assignment Distribution Plant 2008 2 3" xfId="4006"/>
    <cellStyle name="_Power Cost Value Copy 11.30.05 gas 1.09.06 AURORA at 1.10.06_Direct Assignment Distribution Plant 2008 2 3 2" xfId="6631"/>
    <cellStyle name="_Power Cost Value Copy 11.30.05 gas 1.09.06 AURORA at 1.10.06_Direct Assignment Distribution Plant 2008 2 4" xfId="4007"/>
    <cellStyle name="_Power Cost Value Copy 11.30.05 gas 1.09.06 AURORA at 1.10.06_Direct Assignment Distribution Plant 2008 2 4 2" xfId="6632"/>
    <cellStyle name="_Power Cost Value Copy 11.30.05 gas 1.09.06 AURORA at 1.10.06_Direct Assignment Distribution Plant 2008 3" xfId="4008"/>
    <cellStyle name="_Power Cost Value Copy 11.30.05 gas 1.09.06 AURORA at 1.10.06_Direct Assignment Distribution Plant 2008 3 2" xfId="6633"/>
    <cellStyle name="_Power Cost Value Copy 11.30.05 gas 1.09.06 AURORA at 1.10.06_Direct Assignment Distribution Plant 2008 4" xfId="4009"/>
    <cellStyle name="_Power Cost Value Copy 11.30.05 gas 1.09.06 AURORA at 1.10.06_Direct Assignment Distribution Plant 2008 4 2" xfId="6634"/>
    <cellStyle name="_Power Cost Value Copy 11.30.05 gas 1.09.06 AURORA at 1.10.06_Direct Assignment Distribution Plant 2008 5" xfId="6635"/>
    <cellStyle name="_Power Cost Value Copy 11.30.05 gas 1.09.06 AURORA at 1.10.06_Electric COS Inputs" xfId="4010"/>
    <cellStyle name="_Power Cost Value Copy 11.30.05 gas 1.09.06 AURORA at 1.10.06_Electric COS Inputs 2" xfId="4011"/>
    <cellStyle name="_Power Cost Value Copy 11.30.05 gas 1.09.06 AURORA at 1.10.06_Electric COS Inputs 2 2" xfId="4012"/>
    <cellStyle name="_Power Cost Value Copy 11.30.05 gas 1.09.06 AURORA at 1.10.06_Electric COS Inputs 2 2 2" xfId="6636"/>
    <cellStyle name="_Power Cost Value Copy 11.30.05 gas 1.09.06 AURORA at 1.10.06_Electric COS Inputs 2 3" xfId="4013"/>
    <cellStyle name="_Power Cost Value Copy 11.30.05 gas 1.09.06 AURORA at 1.10.06_Electric COS Inputs 2 3 2" xfId="6637"/>
    <cellStyle name="_Power Cost Value Copy 11.30.05 gas 1.09.06 AURORA at 1.10.06_Electric COS Inputs 2 4" xfId="4014"/>
    <cellStyle name="_Power Cost Value Copy 11.30.05 gas 1.09.06 AURORA at 1.10.06_Electric COS Inputs 2 4 2" xfId="6638"/>
    <cellStyle name="_Power Cost Value Copy 11.30.05 gas 1.09.06 AURORA at 1.10.06_Electric COS Inputs 3" xfId="4015"/>
    <cellStyle name="_Power Cost Value Copy 11.30.05 gas 1.09.06 AURORA at 1.10.06_Electric COS Inputs 3 2" xfId="6639"/>
    <cellStyle name="_Power Cost Value Copy 11.30.05 gas 1.09.06 AURORA at 1.10.06_Electric COS Inputs 4" xfId="4016"/>
    <cellStyle name="_Power Cost Value Copy 11.30.05 gas 1.09.06 AURORA at 1.10.06_Electric COS Inputs 4 2" xfId="6640"/>
    <cellStyle name="_Power Cost Value Copy 11.30.05 gas 1.09.06 AURORA at 1.10.06_Electric COS Inputs 5" xfId="6641"/>
    <cellStyle name="_Power Cost Value Copy 11.30.05 gas 1.09.06 AURORA at 1.10.06_Electric Rate Spread and Rate Design 3.23.09" xfId="4017"/>
    <cellStyle name="_Power Cost Value Copy 11.30.05 gas 1.09.06 AURORA at 1.10.06_Electric Rate Spread and Rate Design 3.23.09 2" xfId="4018"/>
    <cellStyle name="_Power Cost Value Copy 11.30.05 gas 1.09.06 AURORA at 1.10.06_Electric Rate Spread and Rate Design 3.23.09 2 2" xfId="4019"/>
    <cellStyle name="_Power Cost Value Copy 11.30.05 gas 1.09.06 AURORA at 1.10.06_Electric Rate Spread and Rate Design 3.23.09 2 2 2" xfId="6642"/>
    <cellStyle name="_Power Cost Value Copy 11.30.05 gas 1.09.06 AURORA at 1.10.06_Electric Rate Spread and Rate Design 3.23.09 2 3" xfId="4020"/>
    <cellStyle name="_Power Cost Value Copy 11.30.05 gas 1.09.06 AURORA at 1.10.06_Electric Rate Spread and Rate Design 3.23.09 2 3 2" xfId="6643"/>
    <cellStyle name="_Power Cost Value Copy 11.30.05 gas 1.09.06 AURORA at 1.10.06_Electric Rate Spread and Rate Design 3.23.09 2 4" xfId="4021"/>
    <cellStyle name="_Power Cost Value Copy 11.30.05 gas 1.09.06 AURORA at 1.10.06_Electric Rate Spread and Rate Design 3.23.09 2 4 2" xfId="6644"/>
    <cellStyle name="_Power Cost Value Copy 11.30.05 gas 1.09.06 AURORA at 1.10.06_Electric Rate Spread and Rate Design 3.23.09 3" xfId="4022"/>
    <cellStyle name="_Power Cost Value Copy 11.30.05 gas 1.09.06 AURORA at 1.10.06_Electric Rate Spread and Rate Design 3.23.09 3 2" xfId="6645"/>
    <cellStyle name="_Power Cost Value Copy 11.30.05 gas 1.09.06 AURORA at 1.10.06_Electric Rate Spread and Rate Design 3.23.09 4" xfId="4023"/>
    <cellStyle name="_Power Cost Value Copy 11.30.05 gas 1.09.06 AURORA at 1.10.06_Electric Rate Spread and Rate Design 3.23.09 4 2" xfId="6646"/>
    <cellStyle name="_Power Cost Value Copy 11.30.05 gas 1.09.06 AURORA at 1.10.06_Electric Rate Spread and Rate Design 3.23.09 5" xfId="6647"/>
    <cellStyle name="_Power Cost Value Copy 11.30.05 gas 1.09.06 AURORA at 1.10.06_Exhibit D fr R Gho 12-31-08" xfId="1668"/>
    <cellStyle name="_Power Cost Value Copy 11.30.05 gas 1.09.06 AURORA at 1.10.06_Exhibit D fr R Gho 12-31-08 2" xfId="1669"/>
    <cellStyle name="_Power Cost Value Copy 11.30.05 gas 1.09.06 AURORA at 1.10.06_Exhibit D fr R Gho 12-31-08 v2" xfId="1670"/>
    <cellStyle name="_Power Cost Value Copy 11.30.05 gas 1.09.06 AURORA at 1.10.06_Exhibit D fr R Gho 12-31-08 v2 2" xfId="1671"/>
    <cellStyle name="_Power Cost Value Copy 11.30.05 gas 1.09.06 AURORA at 1.10.06_Exhibit D fr R Gho 12-31-08 v2_NIM Summary" xfId="1672"/>
    <cellStyle name="_Power Cost Value Copy 11.30.05 gas 1.09.06 AURORA at 1.10.06_Exhibit D fr R Gho 12-31-08 v2_NIM Summary 2" xfId="1673"/>
    <cellStyle name="_Power Cost Value Copy 11.30.05 gas 1.09.06 AURORA at 1.10.06_Exhibit D fr R Gho 12-31-08_NIM Summary" xfId="1674"/>
    <cellStyle name="_Power Cost Value Copy 11.30.05 gas 1.09.06 AURORA at 1.10.06_Exhibit D fr R Gho 12-31-08_NIM Summary 2" xfId="1675"/>
    <cellStyle name="_Power Cost Value Copy 11.30.05 gas 1.09.06 AURORA at 1.10.06_Hopkins Ridge Prepaid Tran - Interest Earned RY 12ME Feb  '11" xfId="1676"/>
    <cellStyle name="_Power Cost Value Copy 11.30.05 gas 1.09.06 AURORA at 1.10.06_Hopkins Ridge Prepaid Tran - Interest Earned RY 12ME Feb  '11 2" xfId="1677"/>
    <cellStyle name="_Power Cost Value Copy 11.30.05 gas 1.09.06 AURORA at 1.10.06_Hopkins Ridge Prepaid Tran - Interest Earned RY 12ME Feb  '11_NIM Summary" xfId="1678"/>
    <cellStyle name="_Power Cost Value Copy 11.30.05 gas 1.09.06 AURORA at 1.10.06_Hopkins Ridge Prepaid Tran - Interest Earned RY 12ME Feb  '11_NIM Summary 2" xfId="1679"/>
    <cellStyle name="_Power Cost Value Copy 11.30.05 gas 1.09.06 AURORA at 1.10.06_Hopkins Ridge Prepaid Tran - Interest Earned RY 12ME Feb  '11_Transmission Workbook for May BOD" xfId="1680"/>
    <cellStyle name="_Power Cost Value Copy 11.30.05 gas 1.09.06 AURORA at 1.10.06_Hopkins Ridge Prepaid Tran - Interest Earned RY 12ME Feb  '11_Transmission Workbook for May BOD 2" xfId="1681"/>
    <cellStyle name="_Power Cost Value Copy 11.30.05 gas 1.09.06 AURORA at 1.10.06_INPUTS" xfId="4024"/>
    <cellStyle name="_Power Cost Value Copy 11.30.05 gas 1.09.06 AURORA at 1.10.06_INPUTS 2" xfId="4025"/>
    <cellStyle name="_Power Cost Value Copy 11.30.05 gas 1.09.06 AURORA at 1.10.06_INPUTS 2 2" xfId="4026"/>
    <cellStyle name="_Power Cost Value Copy 11.30.05 gas 1.09.06 AURORA at 1.10.06_INPUTS 2 2 2" xfId="6648"/>
    <cellStyle name="_Power Cost Value Copy 11.30.05 gas 1.09.06 AURORA at 1.10.06_INPUTS 2 3" xfId="4027"/>
    <cellStyle name="_Power Cost Value Copy 11.30.05 gas 1.09.06 AURORA at 1.10.06_INPUTS 2 3 2" xfId="6649"/>
    <cellStyle name="_Power Cost Value Copy 11.30.05 gas 1.09.06 AURORA at 1.10.06_INPUTS 2 4" xfId="4028"/>
    <cellStyle name="_Power Cost Value Copy 11.30.05 gas 1.09.06 AURORA at 1.10.06_INPUTS 2 4 2" xfId="6650"/>
    <cellStyle name="_Power Cost Value Copy 11.30.05 gas 1.09.06 AURORA at 1.10.06_INPUTS 3" xfId="4029"/>
    <cellStyle name="_Power Cost Value Copy 11.30.05 gas 1.09.06 AURORA at 1.10.06_INPUTS 3 2" xfId="6651"/>
    <cellStyle name="_Power Cost Value Copy 11.30.05 gas 1.09.06 AURORA at 1.10.06_INPUTS 4" xfId="4030"/>
    <cellStyle name="_Power Cost Value Copy 11.30.05 gas 1.09.06 AURORA at 1.10.06_INPUTS 4 2" xfId="6652"/>
    <cellStyle name="_Power Cost Value Copy 11.30.05 gas 1.09.06 AURORA at 1.10.06_INPUTS 5" xfId="6653"/>
    <cellStyle name="_Power Cost Value Copy 11.30.05 gas 1.09.06 AURORA at 1.10.06_Leased Transformer &amp; Substation Plant &amp; Rev 12-2009" xfId="4031"/>
    <cellStyle name="_Power Cost Value Copy 11.30.05 gas 1.09.06 AURORA at 1.10.06_Leased Transformer &amp; Substation Plant &amp; Rev 12-2009 2" xfId="4032"/>
    <cellStyle name="_Power Cost Value Copy 11.30.05 gas 1.09.06 AURORA at 1.10.06_Leased Transformer &amp; Substation Plant &amp; Rev 12-2009 2 2" xfId="4033"/>
    <cellStyle name="_Power Cost Value Copy 11.30.05 gas 1.09.06 AURORA at 1.10.06_Leased Transformer &amp; Substation Plant &amp; Rev 12-2009 2 2 2" xfId="6654"/>
    <cellStyle name="_Power Cost Value Copy 11.30.05 gas 1.09.06 AURORA at 1.10.06_Leased Transformer &amp; Substation Plant &amp; Rev 12-2009 2 3" xfId="4034"/>
    <cellStyle name="_Power Cost Value Copy 11.30.05 gas 1.09.06 AURORA at 1.10.06_Leased Transformer &amp; Substation Plant &amp; Rev 12-2009 2 3 2" xfId="6655"/>
    <cellStyle name="_Power Cost Value Copy 11.30.05 gas 1.09.06 AURORA at 1.10.06_Leased Transformer &amp; Substation Plant &amp; Rev 12-2009 2 4" xfId="4035"/>
    <cellStyle name="_Power Cost Value Copy 11.30.05 gas 1.09.06 AURORA at 1.10.06_Leased Transformer &amp; Substation Plant &amp; Rev 12-2009 2 4 2" xfId="6656"/>
    <cellStyle name="_Power Cost Value Copy 11.30.05 gas 1.09.06 AURORA at 1.10.06_Leased Transformer &amp; Substation Plant &amp; Rev 12-2009 3" xfId="4036"/>
    <cellStyle name="_Power Cost Value Copy 11.30.05 gas 1.09.06 AURORA at 1.10.06_Leased Transformer &amp; Substation Plant &amp; Rev 12-2009 3 2" xfId="6657"/>
    <cellStyle name="_Power Cost Value Copy 11.30.05 gas 1.09.06 AURORA at 1.10.06_Leased Transformer &amp; Substation Plant &amp; Rev 12-2009 4" xfId="4037"/>
    <cellStyle name="_Power Cost Value Copy 11.30.05 gas 1.09.06 AURORA at 1.10.06_Leased Transformer &amp; Substation Plant &amp; Rev 12-2009 4 2" xfId="6658"/>
    <cellStyle name="_Power Cost Value Copy 11.30.05 gas 1.09.06 AURORA at 1.10.06_Leased Transformer &amp; Substation Plant &amp; Rev 12-2009 5" xfId="6659"/>
    <cellStyle name="_Power Cost Value Copy 11.30.05 gas 1.09.06 AURORA at 1.10.06_NIM Summary" xfId="1682"/>
    <cellStyle name="_Power Cost Value Copy 11.30.05 gas 1.09.06 AURORA at 1.10.06_NIM Summary 09GRC" xfId="1683"/>
    <cellStyle name="_Power Cost Value Copy 11.30.05 gas 1.09.06 AURORA at 1.10.06_NIM Summary 09GRC 2" xfId="1684"/>
    <cellStyle name="_Power Cost Value Copy 11.30.05 gas 1.09.06 AURORA at 1.10.06_NIM Summary 2" xfId="1685"/>
    <cellStyle name="_Power Cost Value Copy 11.30.05 gas 1.09.06 AURORA at 1.10.06_NIM Summary 3" xfId="1686"/>
    <cellStyle name="_Power Cost Value Copy 11.30.05 gas 1.09.06 AURORA at 1.10.06_NIM Summary 4" xfId="3372"/>
    <cellStyle name="_Power Cost Value Copy 11.30.05 gas 1.09.06 AURORA at 1.10.06_NIM Summary 5" xfId="3373"/>
    <cellStyle name="_Power Cost Value Copy 11.30.05 gas 1.09.06 AURORA at 1.10.06_NIM Summary 6" xfId="3374"/>
    <cellStyle name="_Power Cost Value Copy 11.30.05 gas 1.09.06 AURORA at 1.10.06_NIM Summary 7" xfId="3375"/>
    <cellStyle name="_Power Cost Value Copy 11.30.05 gas 1.09.06 AURORA at 1.10.06_NIM Summary 8" xfId="3376"/>
    <cellStyle name="_Power Cost Value Copy 11.30.05 gas 1.09.06 AURORA at 1.10.06_NIM Summary 9" xfId="3377"/>
    <cellStyle name="_Power Cost Value Copy 11.30.05 gas 1.09.06 AURORA at 1.10.06_PCA 7 - Exhibit D update 11_30_08 (2)" xfId="1687"/>
    <cellStyle name="_Power Cost Value Copy 11.30.05 gas 1.09.06 AURORA at 1.10.06_PCA 7 - Exhibit D update 11_30_08 (2) 2" xfId="1688"/>
    <cellStyle name="_Power Cost Value Copy 11.30.05 gas 1.09.06 AURORA at 1.10.06_PCA 7 - Exhibit D update 11_30_08 (2) 2 2" xfId="1689"/>
    <cellStyle name="_Power Cost Value Copy 11.30.05 gas 1.09.06 AURORA at 1.10.06_PCA 7 - Exhibit D update 11_30_08 (2) 3" xfId="1690"/>
    <cellStyle name="_Power Cost Value Copy 11.30.05 gas 1.09.06 AURORA at 1.10.06_PCA 7 - Exhibit D update 11_30_08 (2)_NIM Summary" xfId="1691"/>
    <cellStyle name="_Power Cost Value Copy 11.30.05 gas 1.09.06 AURORA at 1.10.06_PCA 7 - Exhibit D update 11_30_08 (2)_NIM Summary 2" xfId="1692"/>
    <cellStyle name="_Power Cost Value Copy 11.30.05 gas 1.09.06 AURORA at 1.10.06_PCA 9 -  Exhibit D April 2010 (3)" xfId="1693"/>
    <cellStyle name="_Power Cost Value Copy 11.30.05 gas 1.09.06 AURORA at 1.10.06_PCA 9 -  Exhibit D April 2010 (3) 2" xfId="1694"/>
    <cellStyle name="_Power Cost Value Copy 11.30.05 gas 1.09.06 AURORA at 1.10.06_Power Costs - Comparison bx Rbtl-Staff-Jt-PC" xfId="1695"/>
    <cellStyle name="_Power Cost Value Copy 11.30.05 gas 1.09.06 AURORA at 1.10.06_Power Costs - Comparison bx Rbtl-Staff-Jt-PC 2" xfId="1696"/>
    <cellStyle name="_Power Cost Value Copy 11.30.05 gas 1.09.06 AURORA at 1.10.06_Power Costs - Comparison bx Rbtl-Staff-Jt-PC 2 2" xfId="6660"/>
    <cellStyle name="_Power Cost Value Copy 11.30.05 gas 1.09.06 AURORA at 1.10.06_Power Costs - Comparison bx Rbtl-Staff-Jt-PC 3" xfId="6661"/>
    <cellStyle name="_Power Cost Value Copy 11.30.05 gas 1.09.06 AURORA at 1.10.06_Power Costs - Comparison bx Rbtl-Staff-Jt-PC_Adj Bench DR 3 for Initial Briefs (Electric)" xfId="1697"/>
    <cellStyle name="_Power Cost Value Copy 11.30.05 gas 1.09.06 AURORA at 1.10.06_Power Costs - Comparison bx Rbtl-Staff-Jt-PC_Adj Bench DR 3 for Initial Briefs (Electric) 2" xfId="1698"/>
    <cellStyle name="_Power Cost Value Copy 11.30.05 gas 1.09.06 AURORA at 1.10.06_Power Costs - Comparison bx Rbtl-Staff-Jt-PC_Adj Bench DR 3 for Initial Briefs (Electric) 2 2" xfId="6662"/>
    <cellStyle name="_Power Cost Value Copy 11.30.05 gas 1.09.06 AURORA at 1.10.06_Power Costs - Comparison bx Rbtl-Staff-Jt-PC_Adj Bench DR 3 for Initial Briefs (Electric) 3" xfId="6663"/>
    <cellStyle name="_Power Cost Value Copy 11.30.05 gas 1.09.06 AURORA at 1.10.06_Power Costs - Comparison bx Rbtl-Staff-Jt-PC_Electric Rev Req Model (2009 GRC) Rebuttal" xfId="1699"/>
    <cellStyle name="_Power Cost Value Copy 11.30.05 gas 1.09.06 AURORA at 1.10.06_Power Costs - Comparison bx Rbtl-Staff-Jt-PC_Electric Rev Req Model (2009 GRC) Rebuttal 2" xfId="4038"/>
    <cellStyle name="_Power Cost Value Copy 11.30.05 gas 1.09.06 AURORA at 1.10.06_Power Costs - Comparison bx Rbtl-Staff-Jt-PC_Electric Rev Req Model (2009 GRC) Rebuttal 2 2" xfId="6664"/>
    <cellStyle name="_Power Cost Value Copy 11.30.05 gas 1.09.06 AURORA at 1.10.06_Power Costs - Comparison bx Rbtl-Staff-Jt-PC_Electric Rev Req Model (2009 GRC) Rebuttal 3" xfId="6665"/>
    <cellStyle name="_Power Cost Value Copy 11.30.05 gas 1.09.06 AURORA at 1.10.06_Power Costs - Comparison bx Rbtl-Staff-Jt-PC_Electric Rev Req Model (2009 GRC) Rebuttal REmoval of New  WH Solar AdjustMI" xfId="1700"/>
    <cellStyle name="_Power Cost Value Copy 11.30.05 gas 1.09.06 AURORA at 1.10.06_Power Costs - Comparison bx Rbtl-Staff-Jt-PC_Electric Rev Req Model (2009 GRC) Rebuttal REmoval of New  WH Solar AdjustMI 2" xfId="1701"/>
    <cellStyle name="_Power Cost Value Copy 11.30.05 gas 1.09.06 AURORA at 1.10.06_Power Costs - Comparison bx Rbtl-Staff-Jt-PC_Electric Rev Req Model (2009 GRC) Rebuttal REmoval of New  WH Solar AdjustMI 2 2" xfId="6666"/>
    <cellStyle name="_Power Cost Value Copy 11.30.05 gas 1.09.06 AURORA at 1.10.06_Power Costs - Comparison bx Rbtl-Staff-Jt-PC_Electric Rev Req Model (2009 GRC) Rebuttal REmoval of New  WH Solar AdjustMI 3" xfId="6667"/>
    <cellStyle name="_Power Cost Value Copy 11.30.05 gas 1.09.06 AURORA at 1.10.06_Power Costs - Comparison bx Rbtl-Staff-Jt-PC_Electric Rev Req Model (2009 GRC) Revised 01-18-2010" xfId="1702"/>
    <cellStyle name="_Power Cost Value Copy 11.30.05 gas 1.09.06 AURORA at 1.10.06_Power Costs - Comparison bx Rbtl-Staff-Jt-PC_Electric Rev Req Model (2009 GRC) Revised 01-18-2010 2" xfId="1703"/>
    <cellStyle name="_Power Cost Value Copy 11.30.05 gas 1.09.06 AURORA at 1.10.06_Power Costs - Comparison bx Rbtl-Staff-Jt-PC_Electric Rev Req Model (2009 GRC) Revised 01-18-2010 2 2" xfId="6668"/>
    <cellStyle name="_Power Cost Value Copy 11.30.05 gas 1.09.06 AURORA at 1.10.06_Power Costs - Comparison bx Rbtl-Staff-Jt-PC_Electric Rev Req Model (2009 GRC) Revised 01-18-2010 3" xfId="6669"/>
    <cellStyle name="_Power Cost Value Copy 11.30.05 gas 1.09.06 AURORA at 1.10.06_Power Costs - Comparison bx Rbtl-Staff-Jt-PC_Final Order Electric EXHIBIT A-1" xfId="1704"/>
    <cellStyle name="_Power Cost Value Copy 11.30.05 gas 1.09.06 AURORA at 1.10.06_Power Costs - Comparison bx Rbtl-Staff-Jt-PC_Final Order Electric EXHIBIT A-1 2" xfId="4039"/>
    <cellStyle name="_Power Cost Value Copy 11.30.05 gas 1.09.06 AURORA at 1.10.06_Power Costs - Comparison bx Rbtl-Staff-Jt-PC_Final Order Electric EXHIBIT A-1 2 2" xfId="6670"/>
    <cellStyle name="_Power Cost Value Copy 11.30.05 gas 1.09.06 AURORA at 1.10.06_Power Costs - Comparison bx Rbtl-Staff-Jt-PC_Final Order Electric EXHIBIT A-1 3" xfId="6671"/>
    <cellStyle name="_Power Cost Value Copy 11.30.05 gas 1.09.06 AURORA at 1.10.06_Production Adj 4.37" xfId="4040"/>
    <cellStyle name="_Power Cost Value Copy 11.30.05 gas 1.09.06 AURORA at 1.10.06_Production Adj 4.37 2" xfId="4041"/>
    <cellStyle name="_Power Cost Value Copy 11.30.05 gas 1.09.06 AURORA at 1.10.06_Production Adj 4.37 2 2" xfId="6672"/>
    <cellStyle name="_Power Cost Value Copy 11.30.05 gas 1.09.06 AURORA at 1.10.06_Production Adj 4.37 3" xfId="6673"/>
    <cellStyle name="_Power Cost Value Copy 11.30.05 gas 1.09.06 AURORA at 1.10.06_Purchased Power Adj 4.03" xfId="4042"/>
    <cellStyle name="_Power Cost Value Copy 11.30.05 gas 1.09.06 AURORA at 1.10.06_Purchased Power Adj 4.03 2" xfId="4043"/>
    <cellStyle name="_Power Cost Value Copy 11.30.05 gas 1.09.06 AURORA at 1.10.06_Purchased Power Adj 4.03 2 2" xfId="6674"/>
    <cellStyle name="_Power Cost Value Copy 11.30.05 gas 1.09.06 AURORA at 1.10.06_Purchased Power Adj 4.03 3" xfId="6675"/>
    <cellStyle name="_Power Cost Value Copy 11.30.05 gas 1.09.06 AURORA at 1.10.06_Rate Design Sch 24" xfId="4044"/>
    <cellStyle name="_Power Cost Value Copy 11.30.05 gas 1.09.06 AURORA at 1.10.06_Rate Design Sch 24 2" xfId="6676"/>
    <cellStyle name="_Power Cost Value Copy 11.30.05 gas 1.09.06 AURORA at 1.10.06_Rate Design Sch 25" xfId="4045"/>
    <cellStyle name="_Power Cost Value Copy 11.30.05 gas 1.09.06 AURORA at 1.10.06_Rate Design Sch 25 2" xfId="4046"/>
    <cellStyle name="_Power Cost Value Copy 11.30.05 gas 1.09.06 AURORA at 1.10.06_Rate Design Sch 25 2 2" xfId="6677"/>
    <cellStyle name="_Power Cost Value Copy 11.30.05 gas 1.09.06 AURORA at 1.10.06_Rate Design Sch 25 3" xfId="6678"/>
    <cellStyle name="_Power Cost Value Copy 11.30.05 gas 1.09.06 AURORA at 1.10.06_Rate Design Sch 26" xfId="4047"/>
    <cellStyle name="_Power Cost Value Copy 11.30.05 gas 1.09.06 AURORA at 1.10.06_Rate Design Sch 26 2" xfId="4048"/>
    <cellStyle name="_Power Cost Value Copy 11.30.05 gas 1.09.06 AURORA at 1.10.06_Rate Design Sch 26 2 2" xfId="6679"/>
    <cellStyle name="_Power Cost Value Copy 11.30.05 gas 1.09.06 AURORA at 1.10.06_Rate Design Sch 26 3" xfId="6680"/>
    <cellStyle name="_Power Cost Value Copy 11.30.05 gas 1.09.06 AURORA at 1.10.06_Rate Design Sch 31" xfId="4049"/>
    <cellStyle name="_Power Cost Value Copy 11.30.05 gas 1.09.06 AURORA at 1.10.06_Rate Design Sch 31 2" xfId="4050"/>
    <cellStyle name="_Power Cost Value Copy 11.30.05 gas 1.09.06 AURORA at 1.10.06_Rate Design Sch 31 2 2" xfId="6681"/>
    <cellStyle name="_Power Cost Value Copy 11.30.05 gas 1.09.06 AURORA at 1.10.06_Rate Design Sch 31 3" xfId="6682"/>
    <cellStyle name="_Power Cost Value Copy 11.30.05 gas 1.09.06 AURORA at 1.10.06_Rate Design Sch 43" xfId="4051"/>
    <cellStyle name="_Power Cost Value Copy 11.30.05 gas 1.09.06 AURORA at 1.10.06_Rate Design Sch 43 2" xfId="4052"/>
    <cellStyle name="_Power Cost Value Copy 11.30.05 gas 1.09.06 AURORA at 1.10.06_Rate Design Sch 43 2 2" xfId="6683"/>
    <cellStyle name="_Power Cost Value Copy 11.30.05 gas 1.09.06 AURORA at 1.10.06_Rate Design Sch 43 3" xfId="6684"/>
    <cellStyle name="_Power Cost Value Copy 11.30.05 gas 1.09.06 AURORA at 1.10.06_Rate Design Sch 448-449" xfId="4053"/>
    <cellStyle name="_Power Cost Value Copy 11.30.05 gas 1.09.06 AURORA at 1.10.06_Rate Design Sch 448-449 2" xfId="6685"/>
    <cellStyle name="_Power Cost Value Copy 11.30.05 gas 1.09.06 AURORA at 1.10.06_Rate Design Sch 46" xfId="4054"/>
    <cellStyle name="_Power Cost Value Copy 11.30.05 gas 1.09.06 AURORA at 1.10.06_Rate Design Sch 46 2" xfId="4055"/>
    <cellStyle name="_Power Cost Value Copy 11.30.05 gas 1.09.06 AURORA at 1.10.06_Rate Design Sch 46 2 2" xfId="6686"/>
    <cellStyle name="_Power Cost Value Copy 11.30.05 gas 1.09.06 AURORA at 1.10.06_Rate Design Sch 46 3" xfId="6687"/>
    <cellStyle name="_Power Cost Value Copy 11.30.05 gas 1.09.06 AURORA at 1.10.06_Rate Spread" xfId="4056"/>
    <cellStyle name="_Power Cost Value Copy 11.30.05 gas 1.09.06 AURORA at 1.10.06_Rate Spread 2" xfId="4057"/>
    <cellStyle name="_Power Cost Value Copy 11.30.05 gas 1.09.06 AURORA at 1.10.06_Rate Spread 2 2" xfId="6688"/>
    <cellStyle name="_Power Cost Value Copy 11.30.05 gas 1.09.06 AURORA at 1.10.06_Rate Spread 3" xfId="6689"/>
    <cellStyle name="_Power Cost Value Copy 11.30.05 gas 1.09.06 AURORA at 1.10.06_Rebuttal Power Costs" xfId="1705"/>
    <cellStyle name="_Power Cost Value Copy 11.30.05 gas 1.09.06 AURORA at 1.10.06_Rebuttal Power Costs 2" xfId="1706"/>
    <cellStyle name="_Power Cost Value Copy 11.30.05 gas 1.09.06 AURORA at 1.10.06_Rebuttal Power Costs 2 2" xfId="6690"/>
    <cellStyle name="_Power Cost Value Copy 11.30.05 gas 1.09.06 AURORA at 1.10.06_Rebuttal Power Costs 3" xfId="6691"/>
    <cellStyle name="_Power Cost Value Copy 11.30.05 gas 1.09.06 AURORA at 1.10.06_Rebuttal Power Costs_Adj Bench DR 3 for Initial Briefs (Electric)" xfId="1707"/>
    <cellStyle name="_Power Cost Value Copy 11.30.05 gas 1.09.06 AURORA at 1.10.06_Rebuttal Power Costs_Adj Bench DR 3 for Initial Briefs (Electric) 2" xfId="1708"/>
    <cellStyle name="_Power Cost Value Copy 11.30.05 gas 1.09.06 AURORA at 1.10.06_Rebuttal Power Costs_Adj Bench DR 3 for Initial Briefs (Electric) 2 2" xfId="6692"/>
    <cellStyle name="_Power Cost Value Copy 11.30.05 gas 1.09.06 AURORA at 1.10.06_Rebuttal Power Costs_Adj Bench DR 3 for Initial Briefs (Electric) 3" xfId="6693"/>
    <cellStyle name="_Power Cost Value Copy 11.30.05 gas 1.09.06 AURORA at 1.10.06_Rebuttal Power Costs_Electric Rev Req Model (2009 GRC) Rebuttal" xfId="1709"/>
    <cellStyle name="_Power Cost Value Copy 11.30.05 gas 1.09.06 AURORA at 1.10.06_Rebuttal Power Costs_Electric Rev Req Model (2009 GRC) Rebuttal 2" xfId="4058"/>
    <cellStyle name="_Power Cost Value Copy 11.30.05 gas 1.09.06 AURORA at 1.10.06_Rebuttal Power Costs_Electric Rev Req Model (2009 GRC) Rebuttal 2 2" xfId="6694"/>
    <cellStyle name="_Power Cost Value Copy 11.30.05 gas 1.09.06 AURORA at 1.10.06_Rebuttal Power Costs_Electric Rev Req Model (2009 GRC) Rebuttal 3" xfId="6695"/>
    <cellStyle name="_Power Cost Value Copy 11.30.05 gas 1.09.06 AURORA at 1.10.06_Rebuttal Power Costs_Electric Rev Req Model (2009 GRC) Rebuttal REmoval of New  WH Solar AdjustMI" xfId="1710"/>
    <cellStyle name="_Power Cost Value Copy 11.30.05 gas 1.09.06 AURORA at 1.10.06_Rebuttal Power Costs_Electric Rev Req Model (2009 GRC) Rebuttal REmoval of New  WH Solar AdjustMI 2" xfId="1711"/>
    <cellStyle name="_Power Cost Value Copy 11.30.05 gas 1.09.06 AURORA at 1.10.06_Rebuttal Power Costs_Electric Rev Req Model (2009 GRC) Rebuttal REmoval of New  WH Solar AdjustMI 2 2" xfId="6696"/>
    <cellStyle name="_Power Cost Value Copy 11.30.05 gas 1.09.06 AURORA at 1.10.06_Rebuttal Power Costs_Electric Rev Req Model (2009 GRC) Rebuttal REmoval of New  WH Solar AdjustMI 3" xfId="6697"/>
    <cellStyle name="_Power Cost Value Copy 11.30.05 gas 1.09.06 AURORA at 1.10.06_Rebuttal Power Costs_Electric Rev Req Model (2009 GRC) Revised 01-18-2010" xfId="1712"/>
    <cellStyle name="_Power Cost Value Copy 11.30.05 gas 1.09.06 AURORA at 1.10.06_Rebuttal Power Costs_Electric Rev Req Model (2009 GRC) Revised 01-18-2010 2" xfId="1713"/>
    <cellStyle name="_Power Cost Value Copy 11.30.05 gas 1.09.06 AURORA at 1.10.06_Rebuttal Power Costs_Electric Rev Req Model (2009 GRC) Revised 01-18-2010 2 2" xfId="6698"/>
    <cellStyle name="_Power Cost Value Copy 11.30.05 gas 1.09.06 AURORA at 1.10.06_Rebuttal Power Costs_Electric Rev Req Model (2009 GRC) Revised 01-18-2010 3" xfId="6699"/>
    <cellStyle name="_Power Cost Value Copy 11.30.05 gas 1.09.06 AURORA at 1.10.06_Rebuttal Power Costs_Final Order Electric EXHIBIT A-1" xfId="1714"/>
    <cellStyle name="_Power Cost Value Copy 11.30.05 gas 1.09.06 AURORA at 1.10.06_Rebuttal Power Costs_Final Order Electric EXHIBIT A-1 2" xfId="4059"/>
    <cellStyle name="_Power Cost Value Copy 11.30.05 gas 1.09.06 AURORA at 1.10.06_Rebuttal Power Costs_Final Order Electric EXHIBIT A-1 2 2" xfId="6700"/>
    <cellStyle name="_Power Cost Value Copy 11.30.05 gas 1.09.06 AURORA at 1.10.06_Rebuttal Power Costs_Final Order Electric EXHIBIT A-1 3" xfId="6701"/>
    <cellStyle name="_Power Cost Value Copy 11.30.05 gas 1.09.06 AURORA at 1.10.06_ROR 5.02" xfId="4060"/>
    <cellStyle name="_Power Cost Value Copy 11.30.05 gas 1.09.06 AURORA at 1.10.06_ROR 5.02 2" xfId="4061"/>
    <cellStyle name="_Power Cost Value Copy 11.30.05 gas 1.09.06 AURORA at 1.10.06_ROR 5.02 2 2" xfId="6702"/>
    <cellStyle name="_Power Cost Value Copy 11.30.05 gas 1.09.06 AURORA at 1.10.06_ROR 5.02 3" xfId="6703"/>
    <cellStyle name="_Power Cost Value Copy 11.30.05 gas 1.09.06 AURORA at 1.10.06_Sch 40 Feeder OH 2008" xfId="4062"/>
    <cellStyle name="_Power Cost Value Copy 11.30.05 gas 1.09.06 AURORA at 1.10.06_Sch 40 Feeder OH 2008 2" xfId="4063"/>
    <cellStyle name="_Power Cost Value Copy 11.30.05 gas 1.09.06 AURORA at 1.10.06_Sch 40 Feeder OH 2008 2 2" xfId="6704"/>
    <cellStyle name="_Power Cost Value Copy 11.30.05 gas 1.09.06 AURORA at 1.10.06_Sch 40 Feeder OH 2008 3" xfId="6705"/>
    <cellStyle name="_Power Cost Value Copy 11.30.05 gas 1.09.06 AURORA at 1.10.06_Sch 40 Interim Energy Rates " xfId="4064"/>
    <cellStyle name="_Power Cost Value Copy 11.30.05 gas 1.09.06 AURORA at 1.10.06_Sch 40 Interim Energy Rates  2" xfId="4065"/>
    <cellStyle name="_Power Cost Value Copy 11.30.05 gas 1.09.06 AURORA at 1.10.06_Sch 40 Interim Energy Rates  2 2" xfId="6706"/>
    <cellStyle name="_Power Cost Value Copy 11.30.05 gas 1.09.06 AURORA at 1.10.06_Sch 40 Interim Energy Rates  3" xfId="6707"/>
    <cellStyle name="_Power Cost Value Copy 11.30.05 gas 1.09.06 AURORA at 1.10.06_Sch 40 Substation A&amp;G 2008" xfId="4066"/>
    <cellStyle name="_Power Cost Value Copy 11.30.05 gas 1.09.06 AURORA at 1.10.06_Sch 40 Substation A&amp;G 2008 2" xfId="4067"/>
    <cellStyle name="_Power Cost Value Copy 11.30.05 gas 1.09.06 AURORA at 1.10.06_Sch 40 Substation A&amp;G 2008 2 2" xfId="6708"/>
    <cellStyle name="_Power Cost Value Copy 11.30.05 gas 1.09.06 AURORA at 1.10.06_Sch 40 Substation A&amp;G 2008 3" xfId="6709"/>
    <cellStyle name="_Power Cost Value Copy 11.30.05 gas 1.09.06 AURORA at 1.10.06_Sch 40 Substation O&amp;M 2008" xfId="4068"/>
    <cellStyle name="_Power Cost Value Copy 11.30.05 gas 1.09.06 AURORA at 1.10.06_Sch 40 Substation O&amp;M 2008 2" xfId="4069"/>
    <cellStyle name="_Power Cost Value Copy 11.30.05 gas 1.09.06 AURORA at 1.10.06_Sch 40 Substation O&amp;M 2008 2 2" xfId="6710"/>
    <cellStyle name="_Power Cost Value Copy 11.30.05 gas 1.09.06 AURORA at 1.10.06_Sch 40 Substation O&amp;M 2008 3" xfId="6711"/>
    <cellStyle name="_Power Cost Value Copy 11.30.05 gas 1.09.06 AURORA at 1.10.06_Subs 2008" xfId="4070"/>
    <cellStyle name="_Power Cost Value Copy 11.30.05 gas 1.09.06 AURORA at 1.10.06_Subs 2008 2" xfId="4071"/>
    <cellStyle name="_Power Cost Value Copy 11.30.05 gas 1.09.06 AURORA at 1.10.06_Subs 2008 2 2" xfId="6712"/>
    <cellStyle name="_Power Cost Value Copy 11.30.05 gas 1.09.06 AURORA at 1.10.06_Subs 2008 3" xfId="6713"/>
    <cellStyle name="_Power Cost Value Copy 11.30.05 gas 1.09.06 AURORA at 1.10.06_Transmission Workbook for May BOD" xfId="1715"/>
    <cellStyle name="_Power Cost Value Copy 11.30.05 gas 1.09.06 AURORA at 1.10.06_Transmission Workbook for May BOD 2" xfId="1716"/>
    <cellStyle name="_Power Cost Value Copy 11.30.05 gas 1.09.06 AURORA at 1.10.06_Wind Integration 10GRC" xfId="1717"/>
    <cellStyle name="_Power Cost Value Copy 11.30.05 gas 1.09.06 AURORA at 1.10.06_Wind Integration 10GRC 2" xfId="1718"/>
    <cellStyle name="_Price Output" xfId="1719"/>
    <cellStyle name="_Price Output_NIM Summary" xfId="1720"/>
    <cellStyle name="_Price Output_NIM Summary 2" xfId="1721"/>
    <cellStyle name="_Price Output_Wind Integration 10GRC" xfId="1722"/>
    <cellStyle name="_Price Output_Wind Integration 10GRC 2" xfId="1723"/>
    <cellStyle name="_Prices" xfId="1724"/>
    <cellStyle name="_Prices_NIM Summary" xfId="1725"/>
    <cellStyle name="_Prices_NIM Summary 2" xfId="1726"/>
    <cellStyle name="_Prices_Wind Integration 10GRC" xfId="1727"/>
    <cellStyle name="_Prices_Wind Integration 10GRC 2" xfId="1728"/>
    <cellStyle name="_Pro Forma Rev 07 GRC" xfId="3044"/>
    <cellStyle name="_x0013__Rebuttal Power Costs" xfId="1729"/>
    <cellStyle name="_x0013__Rebuttal Power Costs 2" xfId="1730"/>
    <cellStyle name="_x0013__Rebuttal Power Costs 2 2" xfId="6714"/>
    <cellStyle name="_x0013__Rebuttal Power Costs 3" xfId="6715"/>
    <cellStyle name="_x0013__Rebuttal Power Costs_Adj Bench DR 3 for Initial Briefs (Electric)" xfId="1731"/>
    <cellStyle name="_x0013__Rebuttal Power Costs_Adj Bench DR 3 for Initial Briefs (Electric) 2" xfId="1732"/>
    <cellStyle name="_x0013__Rebuttal Power Costs_Adj Bench DR 3 for Initial Briefs (Electric) 2 2" xfId="6716"/>
    <cellStyle name="_x0013__Rebuttal Power Costs_Adj Bench DR 3 for Initial Briefs (Electric) 3" xfId="6717"/>
    <cellStyle name="_x0013__Rebuttal Power Costs_Electric Rev Req Model (2009 GRC) Rebuttal" xfId="1733"/>
    <cellStyle name="_x0013__Rebuttal Power Costs_Electric Rev Req Model (2009 GRC) Rebuttal 2" xfId="4072"/>
    <cellStyle name="_x0013__Rebuttal Power Costs_Electric Rev Req Model (2009 GRC) Rebuttal 2 2" xfId="6718"/>
    <cellStyle name="_x0013__Rebuttal Power Costs_Electric Rev Req Model (2009 GRC) Rebuttal 3" xfId="6719"/>
    <cellStyle name="_x0013__Rebuttal Power Costs_Electric Rev Req Model (2009 GRC) Rebuttal REmoval of New  WH Solar AdjustMI" xfId="1734"/>
    <cellStyle name="_x0013__Rebuttal Power Costs_Electric Rev Req Model (2009 GRC) Rebuttal REmoval of New  WH Solar AdjustMI 2" xfId="1735"/>
    <cellStyle name="_x0013__Rebuttal Power Costs_Electric Rev Req Model (2009 GRC) Rebuttal REmoval of New  WH Solar AdjustMI 2 2" xfId="6720"/>
    <cellStyle name="_x0013__Rebuttal Power Costs_Electric Rev Req Model (2009 GRC) Rebuttal REmoval of New  WH Solar AdjustMI 3" xfId="6721"/>
    <cellStyle name="_x0013__Rebuttal Power Costs_Electric Rev Req Model (2009 GRC) Revised 01-18-2010" xfId="1736"/>
    <cellStyle name="_x0013__Rebuttal Power Costs_Electric Rev Req Model (2009 GRC) Revised 01-18-2010 2" xfId="1737"/>
    <cellStyle name="_x0013__Rebuttal Power Costs_Electric Rev Req Model (2009 GRC) Revised 01-18-2010 2 2" xfId="6722"/>
    <cellStyle name="_x0013__Rebuttal Power Costs_Electric Rev Req Model (2009 GRC) Revised 01-18-2010 3" xfId="6723"/>
    <cellStyle name="_x0013__Rebuttal Power Costs_Final Order Electric EXHIBIT A-1" xfId="1738"/>
    <cellStyle name="_x0013__Rebuttal Power Costs_Final Order Electric EXHIBIT A-1 2" xfId="4073"/>
    <cellStyle name="_x0013__Rebuttal Power Costs_Final Order Electric EXHIBIT A-1 2 2" xfId="6724"/>
    <cellStyle name="_x0013__Rebuttal Power Costs_Final Order Electric EXHIBIT A-1 3" xfId="6725"/>
    <cellStyle name="_recommendation" xfId="1739"/>
    <cellStyle name="_recommendation_DEM-WP(C) Wind Integration Summary 2010GRC" xfId="1740"/>
    <cellStyle name="_recommendation_DEM-WP(C) Wind Integration Summary 2010GRC 2" xfId="1741"/>
    <cellStyle name="_recommendation_NIM Summary" xfId="1742"/>
    <cellStyle name="_recommendation_NIM Summary 2" xfId="1743"/>
    <cellStyle name="_Recon to Darrin's 5.11.05 proforma" xfId="1744"/>
    <cellStyle name="_Recon to Darrin's 5.11.05 proforma 2" xfId="1745"/>
    <cellStyle name="_Recon to Darrin's 5.11.05 proforma 2 2" xfId="1746"/>
    <cellStyle name="_Recon to Darrin's 5.11.05 proforma 2 2 2" xfId="6726"/>
    <cellStyle name="_Recon to Darrin's 5.11.05 proforma 2 3" xfId="6727"/>
    <cellStyle name="_Recon to Darrin's 5.11.05 proforma 3" xfId="1747"/>
    <cellStyle name="_Recon to Darrin's 5.11.05 proforma 3 2" xfId="4074"/>
    <cellStyle name="_Recon to Darrin's 5.11.05 proforma 3 2 2" xfId="6728"/>
    <cellStyle name="_Recon to Darrin's 5.11.05 proforma 3 3" xfId="4075"/>
    <cellStyle name="_Recon to Darrin's 5.11.05 proforma 3 3 2" xfId="6729"/>
    <cellStyle name="_Recon to Darrin's 5.11.05 proforma 3 4" xfId="4076"/>
    <cellStyle name="_Recon to Darrin's 5.11.05 proforma 3 4 2" xfId="6730"/>
    <cellStyle name="_Recon to Darrin's 5.11.05 proforma 4" xfId="1748"/>
    <cellStyle name="_Recon to Darrin's 5.11.05 proforma 4 2" xfId="3378"/>
    <cellStyle name="_Recon to Darrin's 5.11.05 proforma 5" xfId="6731"/>
    <cellStyle name="_Recon to Darrin's 5.11.05 proforma_(C) WHE Proforma with ITC cash grant 10 Yr Amort_for deferral_102809" xfId="1749"/>
    <cellStyle name="_Recon to Darrin's 5.11.05 proforma_(C) WHE Proforma with ITC cash grant 10 Yr Amort_for deferral_102809 2" xfId="1750"/>
    <cellStyle name="_Recon to Darrin's 5.11.05 proforma_(C) WHE Proforma with ITC cash grant 10 Yr Amort_for deferral_102809 2 2" xfId="6732"/>
    <cellStyle name="_Recon to Darrin's 5.11.05 proforma_(C) WHE Proforma with ITC cash grant 10 Yr Amort_for deferral_102809 3" xfId="6733"/>
    <cellStyle name="_Recon to Darrin's 5.11.05 proforma_(C) WHE Proforma with ITC cash grant 10 Yr Amort_for deferral_102809_16.07E Wild Horse Wind Expansionwrkingfile" xfId="1751"/>
    <cellStyle name="_Recon to Darrin's 5.11.05 proforma_(C) WHE Proforma with ITC cash grant 10 Yr Amort_for deferral_102809_16.07E Wild Horse Wind Expansionwrkingfile 2" xfId="1752"/>
    <cellStyle name="_Recon to Darrin's 5.11.05 proforma_(C) WHE Proforma with ITC cash grant 10 Yr Amort_for deferral_102809_16.07E Wild Horse Wind Expansionwrkingfile 2 2" xfId="6734"/>
    <cellStyle name="_Recon to Darrin's 5.11.05 proforma_(C) WHE Proforma with ITC cash grant 10 Yr Amort_for deferral_102809_16.07E Wild Horse Wind Expansionwrkingfile 3" xfId="6735"/>
    <cellStyle name="_Recon to Darrin's 5.11.05 proforma_(C) WHE Proforma with ITC cash grant 10 Yr Amort_for deferral_102809_16.07E Wild Horse Wind Expansionwrkingfile SF" xfId="1753"/>
    <cellStyle name="_Recon to Darrin's 5.11.05 proforma_(C) WHE Proforma with ITC cash grant 10 Yr Amort_for deferral_102809_16.07E Wild Horse Wind Expansionwrkingfile SF 2" xfId="1754"/>
    <cellStyle name="_Recon to Darrin's 5.11.05 proforma_(C) WHE Proforma with ITC cash grant 10 Yr Amort_for deferral_102809_16.07E Wild Horse Wind Expansionwrkingfile SF 2 2" xfId="6736"/>
    <cellStyle name="_Recon to Darrin's 5.11.05 proforma_(C) WHE Proforma with ITC cash grant 10 Yr Amort_for deferral_102809_16.07E Wild Horse Wind Expansionwrkingfile SF 3" xfId="6737"/>
    <cellStyle name="_Recon to Darrin's 5.11.05 proforma_(C) WHE Proforma with ITC cash grant 10 Yr Amort_for deferral_102809_16.37E Wild Horse Expansion DeferralRevwrkingfile SF" xfId="1755"/>
    <cellStyle name="_Recon to Darrin's 5.11.05 proforma_(C) WHE Proforma with ITC cash grant 10 Yr Amort_for deferral_102809_16.37E Wild Horse Expansion DeferralRevwrkingfile SF 2" xfId="1756"/>
    <cellStyle name="_Recon to Darrin's 5.11.05 proforma_(C) WHE Proforma with ITC cash grant 10 Yr Amort_for deferral_102809_16.37E Wild Horse Expansion DeferralRevwrkingfile SF 2 2" xfId="6738"/>
    <cellStyle name="_Recon to Darrin's 5.11.05 proforma_(C) WHE Proforma with ITC cash grant 10 Yr Amort_for deferral_102809_16.37E Wild Horse Expansion DeferralRevwrkingfile SF 3" xfId="6739"/>
    <cellStyle name="_Recon to Darrin's 5.11.05 proforma_(C) WHE Proforma with ITC cash grant 10 Yr Amort_for rebuttal_120709" xfId="1757"/>
    <cellStyle name="_Recon to Darrin's 5.11.05 proforma_(C) WHE Proforma with ITC cash grant 10 Yr Amort_for rebuttal_120709 2" xfId="1758"/>
    <cellStyle name="_Recon to Darrin's 5.11.05 proforma_(C) WHE Proforma with ITC cash grant 10 Yr Amort_for rebuttal_120709 2 2" xfId="6740"/>
    <cellStyle name="_Recon to Darrin's 5.11.05 proforma_(C) WHE Proforma with ITC cash grant 10 Yr Amort_for rebuttal_120709 3" xfId="6741"/>
    <cellStyle name="_Recon to Darrin's 5.11.05 proforma_04.07E Wild Horse Wind Expansion" xfId="1759"/>
    <cellStyle name="_Recon to Darrin's 5.11.05 proforma_04.07E Wild Horse Wind Expansion 2" xfId="1760"/>
    <cellStyle name="_Recon to Darrin's 5.11.05 proforma_04.07E Wild Horse Wind Expansion 2 2" xfId="6742"/>
    <cellStyle name="_Recon to Darrin's 5.11.05 proforma_04.07E Wild Horse Wind Expansion 3" xfId="6743"/>
    <cellStyle name="_Recon to Darrin's 5.11.05 proforma_04.07E Wild Horse Wind Expansion_16.07E Wild Horse Wind Expansionwrkingfile" xfId="1761"/>
    <cellStyle name="_Recon to Darrin's 5.11.05 proforma_04.07E Wild Horse Wind Expansion_16.07E Wild Horse Wind Expansionwrkingfile 2" xfId="1762"/>
    <cellStyle name="_Recon to Darrin's 5.11.05 proforma_04.07E Wild Horse Wind Expansion_16.07E Wild Horse Wind Expansionwrkingfile 2 2" xfId="6744"/>
    <cellStyle name="_Recon to Darrin's 5.11.05 proforma_04.07E Wild Horse Wind Expansion_16.07E Wild Horse Wind Expansionwrkingfile 3" xfId="6745"/>
    <cellStyle name="_Recon to Darrin's 5.11.05 proforma_04.07E Wild Horse Wind Expansion_16.07E Wild Horse Wind Expansionwrkingfile SF" xfId="1763"/>
    <cellStyle name="_Recon to Darrin's 5.11.05 proforma_04.07E Wild Horse Wind Expansion_16.07E Wild Horse Wind Expansionwrkingfile SF 2" xfId="1764"/>
    <cellStyle name="_Recon to Darrin's 5.11.05 proforma_04.07E Wild Horse Wind Expansion_16.07E Wild Horse Wind Expansionwrkingfile SF 2 2" xfId="6746"/>
    <cellStyle name="_Recon to Darrin's 5.11.05 proforma_04.07E Wild Horse Wind Expansion_16.07E Wild Horse Wind Expansionwrkingfile SF 3" xfId="6747"/>
    <cellStyle name="_Recon to Darrin's 5.11.05 proforma_04.07E Wild Horse Wind Expansion_16.37E Wild Horse Expansion DeferralRevwrkingfile SF" xfId="1765"/>
    <cellStyle name="_Recon to Darrin's 5.11.05 proforma_04.07E Wild Horse Wind Expansion_16.37E Wild Horse Expansion DeferralRevwrkingfile SF 2" xfId="1766"/>
    <cellStyle name="_Recon to Darrin's 5.11.05 proforma_04.07E Wild Horse Wind Expansion_16.37E Wild Horse Expansion DeferralRevwrkingfile SF 2 2" xfId="6748"/>
    <cellStyle name="_Recon to Darrin's 5.11.05 proforma_04.07E Wild Horse Wind Expansion_16.37E Wild Horse Expansion DeferralRevwrkingfile SF 3" xfId="6749"/>
    <cellStyle name="_Recon to Darrin's 5.11.05 proforma_16.07E Wild Horse Wind Expansionwrkingfile" xfId="1767"/>
    <cellStyle name="_Recon to Darrin's 5.11.05 proforma_16.07E Wild Horse Wind Expansionwrkingfile 2" xfId="1768"/>
    <cellStyle name="_Recon to Darrin's 5.11.05 proforma_16.07E Wild Horse Wind Expansionwrkingfile 2 2" xfId="6750"/>
    <cellStyle name="_Recon to Darrin's 5.11.05 proforma_16.07E Wild Horse Wind Expansionwrkingfile 3" xfId="6751"/>
    <cellStyle name="_Recon to Darrin's 5.11.05 proforma_16.07E Wild Horse Wind Expansionwrkingfile SF" xfId="1769"/>
    <cellStyle name="_Recon to Darrin's 5.11.05 proforma_16.07E Wild Horse Wind Expansionwrkingfile SF 2" xfId="1770"/>
    <cellStyle name="_Recon to Darrin's 5.11.05 proforma_16.07E Wild Horse Wind Expansionwrkingfile SF 2 2" xfId="6752"/>
    <cellStyle name="_Recon to Darrin's 5.11.05 proforma_16.07E Wild Horse Wind Expansionwrkingfile SF 3" xfId="6753"/>
    <cellStyle name="_Recon to Darrin's 5.11.05 proforma_16.37E Wild Horse Expansion DeferralRevwrkingfile SF" xfId="1771"/>
    <cellStyle name="_Recon to Darrin's 5.11.05 proforma_16.37E Wild Horse Expansion DeferralRevwrkingfile SF 2" xfId="1772"/>
    <cellStyle name="_Recon to Darrin's 5.11.05 proforma_16.37E Wild Horse Expansion DeferralRevwrkingfile SF 2 2" xfId="6754"/>
    <cellStyle name="_Recon to Darrin's 5.11.05 proforma_16.37E Wild Horse Expansion DeferralRevwrkingfile SF 3" xfId="6755"/>
    <cellStyle name="_Recon to Darrin's 5.11.05 proforma_2009 GRC Compl Filing - Exhibit D" xfId="1773"/>
    <cellStyle name="_Recon to Darrin's 5.11.05 proforma_2009 GRC Compl Filing - Exhibit D 2" xfId="1774"/>
    <cellStyle name="_Recon to Darrin's 5.11.05 proforma_4 31 Regulatory Assets and Liabilities  7 06- Exhibit D" xfId="1775"/>
    <cellStyle name="_Recon to Darrin's 5.11.05 proforma_4 31 Regulatory Assets and Liabilities  7 06- Exhibit D 2" xfId="1776"/>
    <cellStyle name="_Recon to Darrin's 5.11.05 proforma_4 31 Regulatory Assets and Liabilities  7 06- Exhibit D 2 2" xfId="6756"/>
    <cellStyle name="_Recon to Darrin's 5.11.05 proforma_4 31 Regulatory Assets and Liabilities  7 06- Exhibit D 3" xfId="6757"/>
    <cellStyle name="_Recon to Darrin's 5.11.05 proforma_4 31 Regulatory Assets and Liabilities  7 06- Exhibit D_NIM Summary" xfId="1777"/>
    <cellStyle name="_Recon to Darrin's 5.11.05 proforma_4 31 Regulatory Assets and Liabilities  7 06- Exhibit D_NIM Summary 2" xfId="1778"/>
    <cellStyle name="_Recon to Darrin's 5.11.05 proforma_4 32 Regulatory Assets and Liabilities  7 06- Exhibit D" xfId="1779"/>
    <cellStyle name="_Recon to Darrin's 5.11.05 proforma_4 32 Regulatory Assets and Liabilities  7 06- Exhibit D 2" xfId="1780"/>
    <cellStyle name="_Recon to Darrin's 5.11.05 proforma_4 32 Regulatory Assets and Liabilities  7 06- Exhibit D 2 2" xfId="6758"/>
    <cellStyle name="_Recon to Darrin's 5.11.05 proforma_4 32 Regulatory Assets and Liabilities  7 06- Exhibit D 3" xfId="6759"/>
    <cellStyle name="_Recon to Darrin's 5.11.05 proforma_4 32 Regulatory Assets and Liabilities  7 06- Exhibit D_NIM Summary" xfId="1781"/>
    <cellStyle name="_Recon to Darrin's 5.11.05 proforma_4 32 Regulatory Assets and Liabilities  7 06- Exhibit D_NIM Summary 2" xfId="1782"/>
    <cellStyle name="_Recon to Darrin's 5.11.05 proforma_AURORA Total New" xfId="1783"/>
    <cellStyle name="_Recon to Darrin's 5.11.05 proforma_AURORA Total New 2" xfId="1784"/>
    <cellStyle name="_Recon to Darrin's 5.11.05 proforma_Book2" xfId="1785"/>
    <cellStyle name="_Recon to Darrin's 5.11.05 proforma_Book2 2" xfId="1786"/>
    <cellStyle name="_Recon to Darrin's 5.11.05 proforma_Book2 2 2" xfId="6760"/>
    <cellStyle name="_Recon to Darrin's 5.11.05 proforma_Book2 3" xfId="6761"/>
    <cellStyle name="_Recon to Darrin's 5.11.05 proforma_Book2_Adj Bench DR 3 for Initial Briefs (Electric)" xfId="1787"/>
    <cellStyle name="_Recon to Darrin's 5.11.05 proforma_Book2_Adj Bench DR 3 for Initial Briefs (Electric) 2" xfId="1788"/>
    <cellStyle name="_Recon to Darrin's 5.11.05 proforma_Book2_Adj Bench DR 3 for Initial Briefs (Electric) 2 2" xfId="6762"/>
    <cellStyle name="_Recon to Darrin's 5.11.05 proforma_Book2_Adj Bench DR 3 for Initial Briefs (Electric) 3" xfId="6763"/>
    <cellStyle name="_Recon to Darrin's 5.11.05 proforma_Book2_Electric Rev Req Model (2009 GRC) Rebuttal" xfId="1789"/>
    <cellStyle name="_Recon to Darrin's 5.11.05 proforma_Book2_Electric Rev Req Model (2009 GRC) Rebuttal 2" xfId="4077"/>
    <cellStyle name="_Recon to Darrin's 5.11.05 proforma_Book2_Electric Rev Req Model (2009 GRC) Rebuttal 2 2" xfId="6764"/>
    <cellStyle name="_Recon to Darrin's 5.11.05 proforma_Book2_Electric Rev Req Model (2009 GRC) Rebuttal 3" xfId="6765"/>
    <cellStyle name="_Recon to Darrin's 5.11.05 proforma_Book2_Electric Rev Req Model (2009 GRC) Rebuttal REmoval of New  WH Solar AdjustMI" xfId="1790"/>
    <cellStyle name="_Recon to Darrin's 5.11.05 proforma_Book2_Electric Rev Req Model (2009 GRC) Rebuttal REmoval of New  WH Solar AdjustMI 2" xfId="1791"/>
    <cellStyle name="_Recon to Darrin's 5.11.05 proforma_Book2_Electric Rev Req Model (2009 GRC) Rebuttal REmoval of New  WH Solar AdjustMI 2 2" xfId="6766"/>
    <cellStyle name="_Recon to Darrin's 5.11.05 proforma_Book2_Electric Rev Req Model (2009 GRC) Rebuttal REmoval of New  WH Solar AdjustMI 3" xfId="6767"/>
    <cellStyle name="_Recon to Darrin's 5.11.05 proforma_Book2_Electric Rev Req Model (2009 GRC) Revised 01-18-2010" xfId="1792"/>
    <cellStyle name="_Recon to Darrin's 5.11.05 proforma_Book2_Electric Rev Req Model (2009 GRC) Revised 01-18-2010 2" xfId="1793"/>
    <cellStyle name="_Recon to Darrin's 5.11.05 proforma_Book2_Electric Rev Req Model (2009 GRC) Revised 01-18-2010 2 2" xfId="6768"/>
    <cellStyle name="_Recon to Darrin's 5.11.05 proforma_Book2_Electric Rev Req Model (2009 GRC) Revised 01-18-2010 3" xfId="6769"/>
    <cellStyle name="_Recon to Darrin's 5.11.05 proforma_Book2_Final Order Electric EXHIBIT A-1" xfId="1794"/>
    <cellStyle name="_Recon to Darrin's 5.11.05 proforma_Book2_Final Order Electric EXHIBIT A-1 2" xfId="4078"/>
    <cellStyle name="_Recon to Darrin's 5.11.05 proforma_Book2_Final Order Electric EXHIBIT A-1 2 2" xfId="6770"/>
    <cellStyle name="_Recon to Darrin's 5.11.05 proforma_Book2_Final Order Electric EXHIBIT A-1 3" xfId="6771"/>
    <cellStyle name="_Recon to Darrin's 5.11.05 proforma_Book4" xfId="1795"/>
    <cellStyle name="_Recon to Darrin's 5.11.05 proforma_Book4 2" xfId="1796"/>
    <cellStyle name="_Recon to Darrin's 5.11.05 proforma_Book4 2 2" xfId="6772"/>
    <cellStyle name="_Recon to Darrin's 5.11.05 proforma_Book4 3" xfId="6773"/>
    <cellStyle name="_Recon to Darrin's 5.11.05 proforma_Book9" xfId="1797"/>
    <cellStyle name="_Recon to Darrin's 5.11.05 proforma_Book9 2" xfId="1798"/>
    <cellStyle name="_Recon to Darrin's 5.11.05 proforma_Book9 2 2" xfId="6774"/>
    <cellStyle name="_Recon to Darrin's 5.11.05 proforma_Book9 3" xfId="6775"/>
    <cellStyle name="_Recon to Darrin's 5.11.05 proforma_Exhibit D fr R Gho 12-31-08" xfId="1799"/>
    <cellStyle name="_Recon to Darrin's 5.11.05 proforma_Exhibit D fr R Gho 12-31-08 2" xfId="1800"/>
    <cellStyle name="_Recon to Darrin's 5.11.05 proforma_Exhibit D fr R Gho 12-31-08 v2" xfId="1801"/>
    <cellStyle name="_Recon to Darrin's 5.11.05 proforma_Exhibit D fr R Gho 12-31-08 v2 2" xfId="1802"/>
    <cellStyle name="_Recon to Darrin's 5.11.05 proforma_Exhibit D fr R Gho 12-31-08 v2_NIM Summary" xfId="1803"/>
    <cellStyle name="_Recon to Darrin's 5.11.05 proforma_Exhibit D fr R Gho 12-31-08 v2_NIM Summary 2" xfId="1804"/>
    <cellStyle name="_Recon to Darrin's 5.11.05 proforma_Exhibit D fr R Gho 12-31-08_NIM Summary" xfId="1805"/>
    <cellStyle name="_Recon to Darrin's 5.11.05 proforma_Exhibit D fr R Gho 12-31-08_NIM Summary 2" xfId="1806"/>
    <cellStyle name="_Recon to Darrin's 5.11.05 proforma_Hopkins Ridge Prepaid Tran - Interest Earned RY 12ME Feb  '11" xfId="1807"/>
    <cellStyle name="_Recon to Darrin's 5.11.05 proforma_Hopkins Ridge Prepaid Tran - Interest Earned RY 12ME Feb  '11 2" xfId="1808"/>
    <cellStyle name="_Recon to Darrin's 5.11.05 proforma_Hopkins Ridge Prepaid Tran - Interest Earned RY 12ME Feb  '11_NIM Summary" xfId="1809"/>
    <cellStyle name="_Recon to Darrin's 5.11.05 proforma_Hopkins Ridge Prepaid Tran - Interest Earned RY 12ME Feb  '11_NIM Summary 2" xfId="1810"/>
    <cellStyle name="_Recon to Darrin's 5.11.05 proforma_Hopkins Ridge Prepaid Tran - Interest Earned RY 12ME Feb  '11_Transmission Workbook for May BOD" xfId="1811"/>
    <cellStyle name="_Recon to Darrin's 5.11.05 proforma_Hopkins Ridge Prepaid Tran - Interest Earned RY 12ME Feb  '11_Transmission Workbook for May BOD 2" xfId="1812"/>
    <cellStyle name="_Recon to Darrin's 5.11.05 proforma_INPUTS" xfId="4079"/>
    <cellStyle name="_Recon to Darrin's 5.11.05 proforma_INPUTS 2" xfId="4080"/>
    <cellStyle name="_Recon to Darrin's 5.11.05 proforma_INPUTS 2 2" xfId="6776"/>
    <cellStyle name="_Recon to Darrin's 5.11.05 proforma_INPUTS 3" xfId="6777"/>
    <cellStyle name="_Recon to Darrin's 5.11.05 proforma_NIM Summary" xfId="1813"/>
    <cellStyle name="_Recon to Darrin's 5.11.05 proforma_NIM Summary 09GRC" xfId="1814"/>
    <cellStyle name="_Recon to Darrin's 5.11.05 proforma_NIM Summary 09GRC 2" xfId="1815"/>
    <cellStyle name="_Recon to Darrin's 5.11.05 proforma_NIM Summary 2" xfId="1816"/>
    <cellStyle name="_Recon to Darrin's 5.11.05 proforma_NIM Summary 3" xfId="1817"/>
    <cellStyle name="_Recon to Darrin's 5.11.05 proforma_NIM Summary 4" xfId="3379"/>
    <cellStyle name="_Recon to Darrin's 5.11.05 proforma_NIM Summary 5" xfId="3380"/>
    <cellStyle name="_Recon to Darrin's 5.11.05 proforma_NIM Summary 6" xfId="3381"/>
    <cellStyle name="_Recon to Darrin's 5.11.05 proforma_NIM Summary 7" xfId="3382"/>
    <cellStyle name="_Recon to Darrin's 5.11.05 proforma_NIM Summary 8" xfId="3383"/>
    <cellStyle name="_Recon to Darrin's 5.11.05 proforma_NIM Summary 9" xfId="3384"/>
    <cellStyle name="_Recon to Darrin's 5.11.05 proforma_PCA 7 - Exhibit D update 11_30_08 (2)" xfId="1818"/>
    <cellStyle name="_Recon to Darrin's 5.11.05 proforma_PCA 7 - Exhibit D update 11_30_08 (2) 2" xfId="1819"/>
    <cellStyle name="_Recon to Darrin's 5.11.05 proforma_PCA 7 - Exhibit D update 11_30_08 (2) 2 2" xfId="1820"/>
    <cellStyle name="_Recon to Darrin's 5.11.05 proforma_PCA 7 - Exhibit D update 11_30_08 (2) 3" xfId="1821"/>
    <cellStyle name="_Recon to Darrin's 5.11.05 proforma_PCA 7 - Exhibit D update 11_30_08 (2)_NIM Summary" xfId="1822"/>
    <cellStyle name="_Recon to Darrin's 5.11.05 proforma_PCA 7 - Exhibit D update 11_30_08 (2)_NIM Summary 2" xfId="1823"/>
    <cellStyle name="_Recon to Darrin's 5.11.05 proforma_PCA 9 -  Exhibit D April 2010 (3)" xfId="1824"/>
    <cellStyle name="_Recon to Darrin's 5.11.05 proforma_PCA 9 -  Exhibit D April 2010 (3) 2" xfId="1825"/>
    <cellStyle name="_Recon to Darrin's 5.11.05 proforma_Power Costs - Comparison bx Rbtl-Staff-Jt-PC" xfId="1826"/>
    <cellStyle name="_Recon to Darrin's 5.11.05 proforma_Power Costs - Comparison bx Rbtl-Staff-Jt-PC 2" xfId="1827"/>
    <cellStyle name="_Recon to Darrin's 5.11.05 proforma_Power Costs - Comparison bx Rbtl-Staff-Jt-PC 2 2" xfId="6778"/>
    <cellStyle name="_Recon to Darrin's 5.11.05 proforma_Power Costs - Comparison bx Rbtl-Staff-Jt-PC 3" xfId="6779"/>
    <cellStyle name="_Recon to Darrin's 5.11.05 proforma_Power Costs - Comparison bx Rbtl-Staff-Jt-PC_Adj Bench DR 3 for Initial Briefs (Electric)" xfId="1828"/>
    <cellStyle name="_Recon to Darrin's 5.11.05 proforma_Power Costs - Comparison bx Rbtl-Staff-Jt-PC_Adj Bench DR 3 for Initial Briefs (Electric) 2" xfId="1829"/>
    <cellStyle name="_Recon to Darrin's 5.11.05 proforma_Power Costs - Comparison bx Rbtl-Staff-Jt-PC_Adj Bench DR 3 for Initial Briefs (Electric) 2 2" xfId="6780"/>
    <cellStyle name="_Recon to Darrin's 5.11.05 proforma_Power Costs - Comparison bx Rbtl-Staff-Jt-PC_Adj Bench DR 3 for Initial Briefs (Electric) 3" xfId="6781"/>
    <cellStyle name="_Recon to Darrin's 5.11.05 proforma_Power Costs - Comparison bx Rbtl-Staff-Jt-PC_Electric Rev Req Model (2009 GRC) Rebuttal" xfId="1830"/>
    <cellStyle name="_Recon to Darrin's 5.11.05 proforma_Power Costs - Comparison bx Rbtl-Staff-Jt-PC_Electric Rev Req Model (2009 GRC) Rebuttal 2" xfId="4081"/>
    <cellStyle name="_Recon to Darrin's 5.11.05 proforma_Power Costs - Comparison bx Rbtl-Staff-Jt-PC_Electric Rev Req Model (2009 GRC) Rebuttal 2 2" xfId="6782"/>
    <cellStyle name="_Recon to Darrin's 5.11.05 proforma_Power Costs - Comparison bx Rbtl-Staff-Jt-PC_Electric Rev Req Model (2009 GRC) Rebuttal 3" xfId="6783"/>
    <cellStyle name="_Recon to Darrin's 5.11.05 proforma_Power Costs - Comparison bx Rbtl-Staff-Jt-PC_Electric Rev Req Model (2009 GRC) Rebuttal REmoval of New  WH Solar AdjustMI" xfId="1831"/>
    <cellStyle name="_Recon to Darrin's 5.11.05 proforma_Power Costs - Comparison bx Rbtl-Staff-Jt-PC_Electric Rev Req Model (2009 GRC) Rebuttal REmoval of New  WH Solar AdjustMI 2" xfId="1832"/>
    <cellStyle name="_Recon to Darrin's 5.11.05 proforma_Power Costs - Comparison bx Rbtl-Staff-Jt-PC_Electric Rev Req Model (2009 GRC) Rebuttal REmoval of New  WH Solar AdjustMI 2 2" xfId="6784"/>
    <cellStyle name="_Recon to Darrin's 5.11.05 proforma_Power Costs - Comparison bx Rbtl-Staff-Jt-PC_Electric Rev Req Model (2009 GRC) Rebuttal REmoval of New  WH Solar AdjustMI 3" xfId="6785"/>
    <cellStyle name="_Recon to Darrin's 5.11.05 proforma_Power Costs - Comparison bx Rbtl-Staff-Jt-PC_Electric Rev Req Model (2009 GRC) Revised 01-18-2010" xfId="1833"/>
    <cellStyle name="_Recon to Darrin's 5.11.05 proforma_Power Costs - Comparison bx Rbtl-Staff-Jt-PC_Electric Rev Req Model (2009 GRC) Revised 01-18-2010 2" xfId="1834"/>
    <cellStyle name="_Recon to Darrin's 5.11.05 proforma_Power Costs - Comparison bx Rbtl-Staff-Jt-PC_Electric Rev Req Model (2009 GRC) Revised 01-18-2010 2 2" xfId="6786"/>
    <cellStyle name="_Recon to Darrin's 5.11.05 proforma_Power Costs - Comparison bx Rbtl-Staff-Jt-PC_Electric Rev Req Model (2009 GRC) Revised 01-18-2010 3" xfId="6787"/>
    <cellStyle name="_Recon to Darrin's 5.11.05 proforma_Power Costs - Comparison bx Rbtl-Staff-Jt-PC_Final Order Electric EXHIBIT A-1" xfId="1835"/>
    <cellStyle name="_Recon to Darrin's 5.11.05 proforma_Power Costs - Comparison bx Rbtl-Staff-Jt-PC_Final Order Electric EXHIBIT A-1 2" xfId="4082"/>
    <cellStyle name="_Recon to Darrin's 5.11.05 proforma_Power Costs - Comparison bx Rbtl-Staff-Jt-PC_Final Order Electric EXHIBIT A-1 2 2" xfId="6788"/>
    <cellStyle name="_Recon to Darrin's 5.11.05 proforma_Power Costs - Comparison bx Rbtl-Staff-Jt-PC_Final Order Electric EXHIBIT A-1 3" xfId="6789"/>
    <cellStyle name="_Recon to Darrin's 5.11.05 proforma_Production Adj 4.37" xfId="4083"/>
    <cellStyle name="_Recon to Darrin's 5.11.05 proforma_Production Adj 4.37 2" xfId="4084"/>
    <cellStyle name="_Recon to Darrin's 5.11.05 proforma_Production Adj 4.37 2 2" xfId="6790"/>
    <cellStyle name="_Recon to Darrin's 5.11.05 proforma_Production Adj 4.37 3" xfId="6791"/>
    <cellStyle name="_Recon to Darrin's 5.11.05 proforma_Purchased Power Adj 4.03" xfId="4085"/>
    <cellStyle name="_Recon to Darrin's 5.11.05 proforma_Purchased Power Adj 4.03 2" xfId="4086"/>
    <cellStyle name="_Recon to Darrin's 5.11.05 proforma_Purchased Power Adj 4.03 2 2" xfId="6792"/>
    <cellStyle name="_Recon to Darrin's 5.11.05 proforma_Purchased Power Adj 4.03 3" xfId="6793"/>
    <cellStyle name="_Recon to Darrin's 5.11.05 proforma_Rebuttal Power Costs" xfId="1836"/>
    <cellStyle name="_Recon to Darrin's 5.11.05 proforma_Rebuttal Power Costs 2" xfId="1837"/>
    <cellStyle name="_Recon to Darrin's 5.11.05 proforma_Rebuttal Power Costs 2 2" xfId="6794"/>
    <cellStyle name="_Recon to Darrin's 5.11.05 proforma_Rebuttal Power Costs 3" xfId="6795"/>
    <cellStyle name="_Recon to Darrin's 5.11.05 proforma_Rebuttal Power Costs_Adj Bench DR 3 for Initial Briefs (Electric)" xfId="1838"/>
    <cellStyle name="_Recon to Darrin's 5.11.05 proforma_Rebuttal Power Costs_Adj Bench DR 3 for Initial Briefs (Electric) 2" xfId="1839"/>
    <cellStyle name="_Recon to Darrin's 5.11.05 proforma_Rebuttal Power Costs_Adj Bench DR 3 for Initial Briefs (Electric) 2 2" xfId="6796"/>
    <cellStyle name="_Recon to Darrin's 5.11.05 proforma_Rebuttal Power Costs_Adj Bench DR 3 for Initial Briefs (Electric) 3" xfId="6797"/>
    <cellStyle name="_Recon to Darrin's 5.11.05 proforma_Rebuttal Power Costs_Electric Rev Req Model (2009 GRC) Rebuttal" xfId="1840"/>
    <cellStyle name="_Recon to Darrin's 5.11.05 proforma_Rebuttal Power Costs_Electric Rev Req Model (2009 GRC) Rebuttal 2" xfId="4087"/>
    <cellStyle name="_Recon to Darrin's 5.11.05 proforma_Rebuttal Power Costs_Electric Rev Req Model (2009 GRC) Rebuttal 2 2" xfId="6798"/>
    <cellStyle name="_Recon to Darrin's 5.11.05 proforma_Rebuttal Power Costs_Electric Rev Req Model (2009 GRC) Rebuttal 3" xfId="6799"/>
    <cellStyle name="_Recon to Darrin's 5.11.05 proforma_Rebuttal Power Costs_Electric Rev Req Model (2009 GRC) Rebuttal REmoval of New  WH Solar AdjustMI" xfId="1841"/>
    <cellStyle name="_Recon to Darrin's 5.11.05 proforma_Rebuttal Power Costs_Electric Rev Req Model (2009 GRC) Rebuttal REmoval of New  WH Solar AdjustMI 2" xfId="1842"/>
    <cellStyle name="_Recon to Darrin's 5.11.05 proforma_Rebuttal Power Costs_Electric Rev Req Model (2009 GRC) Rebuttal REmoval of New  WH Solar AdjustMI 2 2" xfId="6800"/>
    <cellStyle name="_Recon to Darrin's 5.11.05 proforma_Rebuttal Power Costs_Electric Rev Req Model (2009 GRC) Rebuttal REmoval of New  WH Solar AdjustMI 3" xfId="6801"/>
    <cellStyle name="_Recon to Darrin's 5.11.05 proforma_Rebuttal Power Costs_Electric Rev Req Model (2009 GRC) Revised 01-18-2010" xfId="1843"/>
    <cellStyle name="_Recon to Darrin's 5.11.05 proforma_Rebuttal Power Costs_Electric Rev Req Model (2009 GRC) Revised 01-18-2010 2" xfId="1844"/>
    <cellStyle name="_Recon to Darrin's 5.11.05 proforma_Rebuttal Power Costs_Electric Rev Req Model (2009 GRC) Revised 01-18-2010 2 2" xfId="6802"/>
    <cellStyle name="_Recon to Darrin's 5.11.05 proforma_Rebuttal Power Costs_Electric Rev Req Model (2009 GRC) Revised 01-18-2010 3" xfId="6803"/>
    <cellStyle name="_Recon to Darrin's 5.11.05 proforma_Rebuttal Power Costs_Final Order Electric EXHIBIT A-1" xfId="1845"/>
    <cellStyle name="_Recon to Darrin's 5.11.05 proforma_Rebuttal Power Costs_Final Order Electric EXHIBIT A-1 2" xfId="4088"/>
    <cellStyle name="_Recon to Darrin's 5.11.05 proforma_Rebuttal Power Costs_Final Order Electric EXHIBIT A-1 2 2" xfId="6804"/>
    <cellStyle name="_Recon to Darrin's 5.11.05 proforma_Rebuttal Power Costs_Final Order Electric EXHIBIT A-1 3" xfId="6805"/>
    <cellStyle name="_Recon to Darrin's 5.11.05 proforma_ROR &amp; CONV FACTOR" xfId="4089"/>
    <cellStyle name="_Recon to Darrin's 5.11.05 proforma_ROR &amp; CONV FACTOR 2" xfId="4090"/>
    <cellStyle name="_Recon to Darrin's 5.11.05 proforma_ROR &amp; CONV FACTOR 2 2" xfId="6806"/>
    <cellStyle name="_Recon to Darrin's 5.11.05 proforma_ROR &amp; CONV FACTOR 3" xfId="6807"/>
    <cellStyle name="_Recon to Darrin's 5.11.05 proforma_ROR 5.02" xfId="4091"/>
    <cellStyle name="_Recon to Darrin's 5.11.05 proforma_ROR 5.02 2" xfId="4092"/>
    <cellStyle name="_Recon to Darrin's 5.11.05 proforma_ROR 5.02 2 2" xfId="6808"/>
    <cellStyle name="_Recon to Darrin's 5.11.05 proforma_ROR 5.02 3" xfId="6809"/>
    <cellStyle name="_Recon to Darrin's 5.11.05 proforma_Transmission Workbook for May BOD" xfId="1846"/>
    <cellStyle name="_Recon to Darrin's 5.11.05 proforma_Transmission Workbook for May BOD 2" xfId="1847"/>
    <cellStyle name="_Recon to Darrin's 5.11.05 proforma_Wind Integration 10GRC" xfId="1848"/>
    <cellStyle name="_Recon to Darrin's 5.11.05 proforma_Wind Integration 10GRC 2" xfId="1849"/>
    <cellStyle name="_Revenue" xfId="3045"/>
    <cellStyle name="_Revenue_Data" xfId="3046"/>
    <cellStyle name="_Revenue_Data_1" xfId="3047"/>
    <cellStyle name="_Revenue_Data_Pro Forma Rev 09 GRC" xfId="3048"/>
    <cellStyle name="_Revenue_Data_Pro Forma Rev 2010 GRC" xfId="3049"/>
    <cellStyle name="_Revenue_Data_Pro Forma Rev 2010 GRC_Preliminary" xfId="3050"/>
    <cellStyle name="_Revenue_Data_Revenue (Feb 09 - Jan 10)" xfId="3051"/>
    <cellStyle name="_Revenue_Data_Revenue (Jan 09 - Dec 09)" xfId="3052"/>
    <cellStyle name="_Revenue_Data_Revenue (Mar 09 - Feb 10)" xfId="3053"/>
    <cellStyle name="_Revenue_Data_Volume Exhibit (Jan09 - Dec09)" xfId="3054"/>
    <cellStyle name="_Revenue_Mins" xfId="3055"/>
    <cellStyle name="_Revenue_Pro Forma Rev 07 GRC" xfId="3056"/>
    <cellStyle name="_Revenue_Pro Forma Rev 08 GRC" xfId="3057"/>
    <cellStyle name="_Revenue_Pro Forma Rev 09 GRC" xfId="3058"/>
    <cellStyle name="_Revenue_Pro Forma Rev 2010 GRC" xfId="3059"/>
    <cellStyle name="_Revenue_Pro Forma Rev 2010 GRC_Preliminary" xfId="3060"/>
    <cellStyle name="_Revenue_Revenue (Feb 09 - Jan 10)" xfId="3061"/>
    <cellStyle name="_Revenue_Revenue (Jan 09 - Dec 09)" xfId="3062"/>
    <cellStyle name="_Revenue_Revenue (Mar 09 - Feb 10)" xfId="3063"/>
    <cellStyle name="_Revenue_Sheet2" xfId="3064"/>
    <cellStyle name="_Revenue_Therms Data" xfId="3065"/>
    <cellStyle name="_Revenue_Therms Data Rerun" xfId="3066"/>
    <cellStyle name="_Revenue_Volume Exhibit (Jan09 - Dec09)" xfId="3067"/>
    <cellStyle name="_Sumas Proforma - 11-09-07" xfId="1850"/>
    <cellStyle name="_Sumas Property Taxes v1" xfId="1851"/>
    <cellStyle name="_Tenaska Comparison" xfId="1852"/>
    <cellStyle name="_Tenaska Comparison 2" xfId="1853"/>
    <cellStyle name="_Tenaska Comparison 2 2" xfId="1854"/>
    <cellStyle name="_Tenaska Comparison 2 2 2" xfId="6810"/>
    <cellStyle name="_Tenaska Comparison 2 3" xfId="6811"/>
    <cellStyle name="_Tenaska Comparison 3" xfId="1855"/>
    <cellStyle name="_Tenaska Comparison 3 2" xfId="6812"/>
    <cellStyle name="_Tenaska Comparison 4" xfId="1856"/>
    <cellStyle name="_Tenaska Comparison 4 2" xfId="3385"/>
    <cellStyle name="_Tenaska Comparison_(C) WHE Proforma with ITC cash grant 10 Yr Amort_for deferral_102809" xfId="1857"/>
    <cellStyle name="_Tenaska Comparison_(C) WHE Proforma with ITC cash grant 10 Yr Amort_for deferral_102809 2" xfId="1858"/>
    <cellStyle name="_Tenaska Comparison_(C) WHE Proforma with ITC cash grant 10 Yr Amort_for deferral_102809 2 2" xfId="6813"/>
    <cellStyle name="_Tenaska Comparison_(C) WHE Proforma with ITC cash grant 10 Yr Amort_for deferral_102809 3" xfId="6814"/>
    <cellStyle name="_Tenaska Comparison_(C) WHE Proforma with ITC cash grant 10 Yr Amort_for deferral_102809_16.07E Wild Horse Wind Expansionwrkingfile" xfId="1859"/>
    <cellStyle name="_Tenaska Comparison_(C) WHE Proforma with ITC cash grant 10 Yr Amort_for deferral_102809_16.07E Wild Horse Wind Expansionwrkingfile 2" xfId="1860"/>
    <cellStyle name="_Tenaska Comparison_(C) WHE Proforma with ITC cash grant 10 Yr Amort_for deferral_102809_16.07E Wild Horse Wind Expansionwrkingfile 2 2" xfId="6815"/>
    <cellStyle name="_Tenaska Comparison_(C) WHE Proforma with ITC cash grant 10 Yr Amort_for deferral_102809_16.07E Wild Horse Wind Expansionwrkingfile 3" xfId="6816"/>
    <cellStyle name="_Tenaska Comparison_(C) WHE Proforma with ITC cash grant 10 Yr Amort_for deferral_102809_16.07E Wild Horse Wind Expansionwrkingfile SF" xfId="1861"/>
    <cellStyle name="_Tenaska Comparison_(C) WHE Proforma with ITC cash grant 10 Yr Amort_for deferral_102809_16.07E Wild Horse Wind Expansionwrkingfile SF 2" xfId="1862"/>
    <cellStyle name="_Tenaska Comparison_(C) WHE Proforma with ITC cash grant 10 Yr Amort_for deferral_102809_16.07E Wild Horse Wind Expansionwrkingfile SF 2 2" xfId="6817"/>
    <cellStyle name="_Tenaska Comparison_(C) WHE Proforma with ITC cash grant 10 Yr Amort_for deferral_102809_16.07E Wild Horse Wind Expansionwrkingfile SF 3" xfId="6818"/>
    <cellStyle name="_Tenaska Comparison_(C) WHE Proforma with ITC cash grant 10 Yr Amort_for deferral_102809_16.37E Wild Horse Expansion DeferralRevwrkingfile SF" xfId="1863"/>
    <cellStyle name="_Tenaska Comparison_(C) WHE Proforma with ITC cash grant 10 Yr Amort_for deferral_102809_16.37E Wild Horse Expansion DeferralRevwrkingfile SF 2" xfId="1864"/>
    <cellStyle name="_Tenaska Comparison_(C) WHE Proforma with ITC cash grant 10 Yr Amort_for deferral_102809_16.37E Wild Horse Expansion DeferralRevwrkingfile SF 2 2" xfId="6819"/>
    <cellStyle name="_Tenaska Comparison_(C) WHE Proforma with ITC cash grant 10 Yr Amort_for deferral_102809_16.37E Wild Horse Expansion DeferralRevwrkingfile SF 3" xfId="6820"/>
    <cellStyle name="_Tenaska Comparison_(C) WHE Proforma with ITC cash grant 10 Yr Amort_for rebuttal_120709" xfId="1865"/>
    <cellStyle name="_Tenaska Comparison_(C) WHE Proforma with ITC cash grant 10 Yr Amort_for rebuttal_120709 2" xfId="1866"/>
    <cellStyle name="_Tenaska Comparison_(C) WHE Proforma with ITC cash grant 10 Yr Amort_for rebuttal_120709 2 2" xfId="6821"/>
    <cellStyle name="_Tenaska Comparison_(C) WHE Proforma with ITC cash grant 10 Yr Amort_for rebuttal_120709 3" xfId="6822"/>
    <cellStyle name="_Tenaska Comparison_04.07E Wild Horse Wind Expansion" xfId="1867"/>
    <cellStyle name="_Tenaska Comparison_04.07E Wild Horse Wind Expansion 2" xfId="1868"/>
    <cellStyle name="_Tenaska Comparison_04.07E Wild Horse Wind Expansion 2 2" xfId="6823"/>
    <cellStyle name="_Tenaska Comparison_04.07E Wild Horse Wind Expansion 3" xfId="6824"/>
    <cellStyle name="_Tenaska Comparison_04.07E Wild Horse Wind Expansion_16.07E Wild Horse Wind Expansionwrkingfile" xfId="1869"/>
    <cellStyle name="_Tenaska Comparison_04.07E Wild Horse Wind Expansion_16.07E Wild Horse Wind Expansionwrkingfile 2" xfId="1870"/>
    <cellStyle name="_Tenaska Comparison_04.07E Wild Horse Wind Expansion_16.07E Wild Horse Wind Expansionwrkingfile 2 2" xfId="6825"/>
    <cellStyle name="_Tenaska Comparison_04.07E Wild Horse Wind Expansion_16.07E Wild Horse Wind Expansionwrkingfile 3" xfId="6826"/>
    <cellStyle name="_Tenaska Comparison_04.07E Wild Horse Wind Expansion_16.07E Wild Horse Wind Expansionwrkingfile SF" xfId="1871"/>
    <cellStyle name="_Tenaska Comparison_04.07E Wild Horse Wind Expansion_16.07E Wild Horse Wind Expansionwrkingfile SF 2" xfId="1872"/>
    <cellStyle name="_Tenaska Comparison_04.07E Wild Horse Wind Expansion_16.07E Wild Horse Wind Expansionwrkingfile SF 2 2" xfId="6827"/>
    <cellStyle name="_Tenaska Comparison_04.07E Wild Horse Wind Expansion_16.07E Wild Horse Wind Expansionwrkingfile SF 3" xfId="6828"/>
    <cellStyle name="_Tenaska Comparison_04.07E Wild Horse Wind Expansion_16.37E Wild Horse Expansion DeferralRevwrkingfile SF" xfId="1873"/>
    <cellStyle name="_Tenaska Comparison_04.07E Wild Horse Wind Expansion_16.37E Wild Horse Expansion DeferralRevwrkingfile SF 2" xfId="1874"/>
    <cellStyle name="_Tenaska Comparison_04.07E Wild Horse Wind Expansion_16.37E Wild Horse Expansion DeferralRevwrkingfile SF 2 2" xfId="6829"/>
    <cellStyle name="_Tenaska Comparison_04.07E Wild Horse Wind Expansion_16.37E Wild Horse Expansion DeferralRevwrkingfile SF 3" xfId="6830"/>
    <cellStyle name="_Tenaska Comparison_16.07E Wild Horse Wind Expansionwrkingfile" xfId="1875"/>
    <cellStyle name="_Tenaska Comparison_16.07E Wild Horse Wind Expansionwrkingfile 2" xfId="1876"/>
    <cellStyle name="_Tenaska Comparison_16.07E Wild Horse Wind Expansionwrkingfile 2 2" xfId="6831"/>
    <cellStyle name="_Tenaska Comparison_16.07E Wild Horse Wind Expansionwrkingfile 3" xfId="6832"/>
    <cellStyle name="_Tenaska Comparison_16.07E Wild Horse Wind Expansionwrkingfile SF" xfId="1877"/>
    <cellStyle name="_Tenaska Comparison_16.07E Wild Horse Wind Expansionwrkingfile SF 2" xfId="1878"/>
    <cellStyle name="_Tenaska Comparison_16.07E Wild Horse Wind Expansionwrkingfile SF 2 2" xfId="6833"/>
    <cellStyle name="_Tenaska Comparison_16.07E Wild Horse Wind Expansionwrkingfile SF 3" xfId="6834"/>
    <cellStyle name="_Tenaska Comparison_16.37E Wild Horse Expansion DeferralRevwrkingfile SF" xfId="1879"/>
    <cellStyle name="_Tenaska Comparison_16.37E Wild Horse Expansion DeferralRevwrkingfile SF 2" xfId="1880"/>
    <cellStyle name="_Tenaska Comparison_16.37E Wild Horse Expansion DeferralRevwrkingfile SF 2 2" xfId="6835"/>
    <cellStyle name="_Tenaska Comparison_16.37E Wild Horse Expansion DeferralRevwrkingfile SF 3" xfId="6836"/>
    <cellStyle name="_Tenaska Comparison_2009 GRC Compl Filing - Exhibit D" xfId="1881"/>
    <cellStyle name="_Tenaska Comparison_2009 GRC Compl Filing - Exhibit D 2" xfId="1882"/>
    <cellStyle name="_Tenaska Comparison_4 31 Regulatory Assets and Liabilities  7 06- Exhibit D" xfId="1883"/>
    <cellStyle name="_Tenaska Comparison_4 31 Regulatory Assets and Liabilities  7 06- Exhibit D 2" xfId="1884"/>
    <cellStyle name="_Tenaska Comparison_4 31 Regulatory Assets and Liabilities  7 06- Exhibit D 2 2" xfId="6837"/>
    <cellStyle name="_Tenaska Comparison_4 31 Regulatory Assets and Liabilities  7 06- Exhibit D 3" xfId="6838"/>
    <cellStyle name="_Tenaska Comparison_4 31 Regulatory Assets and Liabilities  7 06- Exhibit D_NIM Summary" xfId="1885"/>
    <cellStyle name="_Tenaska Comparison_4 31 Regulatory Assets and Liabilities  7 06- Exhibit D_NIM Summary 2" xfId="1886"/>
    <cellStyle name="_Tenaska Comparison_4 32 Regulatory Assets and Liabilities  7 06- Exhibit D" xfId="1887"/>
    <cellStyle name="_Tenaska Comparison_4 32 Regulatory Assets and Liabilities  7 06- Exhibit D 2" xfId="1888"/>
    <cellStyle name="_Tenaska Comparison_4 32 Regulatory Assets and Liabilities  7 06- Exhibit D 2 2" xfId="6839"/>
    <cellStyle name="_Tenaska Comparison_4 32 Regulatory Assets and Liabilities  7 06- Exhibit D 3" xfId="6840"/>
    <cellStyle name="_Tenaska Comparison_4 32 Regulatory Assets and Liabilities  7 06- Exhibit D_NIM Summary" xfId="1889"/>
    <cellStyle name="_Tenaska Comparison_4 32 Regulatory Assets and Liabilities  7 06- Exhibit D_NIM Summary 2" xfId="1890"/>
    <cellStyle name="_Tenaska Comparison_AURORA Total New" xfId="1891"/>
    <cellStyle name="_Tenaska Comparison_AURORA Total New 2" xfId="1892"/>
    <cellStyle name="_Tenaska Comparison_Book2" xfId="1893"/>
    <cellStyle name="_Tenaska Comparison_Book2 2" xfId="1894"/>
    <cellStyle name="_Tenaska Comparison_Book2 2 2" xfId="6841"/>
    <cellStyle name="_Tenaska Comparison_Book2 3" xfId="6842"/>
    <cellStyle name="_Tenaska Comparison_Book2_Adj Bench DR 3 for Initial Briefs (Electric)" xfId="1895"/>
    <cellStyle name="_Tenaska Comparison_Book2_Adj Bench DR 3 for Initial Briefs (Electric) 2" xfId="1896"/>
    <cellStyle name="_Tenaska Comparison_Book2_Adj Bench DR 3 for Initial Briefs (Electric) 2 2" xfId="6843"/>
    <cellStyle name="_Tenaska Comparison_Book2_Adj Bench DR 3 for Initial Briefs (Electric) 3" xfId="6844"/>
    <cellStyle name="_Tenaska Comparison_Book2_Electric Rev Req Model (2009 GRC) Rebuttal" xfId="1897"/>
    <cellStyle name="_Tenaska Comparison_Book2_Electric Rev Req Model (2009 GRC) Rebuttal 2" xfId="4093"/>
    <cellStyle name="_Tenaska Comparison_Book2_Electric Rev Req Model (2009 GRC) Rebuttal 2 2" xfId="6845"/>
    <cellStyle name="_Tenaska Comparison_Book2_Electric Rev Req Model (2009 GRC) Rebuttal 3" xfId="6846"/>
    <cellStyle name="_Tenaska Comparison_Book2_Electric Rev Req Model (2009 GRC) Rebuttal REmoval of New  WH Solar AdjustMI" xfId="1898"/>
    <cellStyle name="_Tenaska Comparison_Book2_Electric Rev Req Model (2009 GRC) Rebuttal REmoval of New  WH Solar AdjustMI 2" xfId="1899"/>
    <cellStyle name="_Tenaska Comparison_Book2_Electric Rev Req Model (2009 GRC) Rebuttal REmoval of New  WH Solar AdjustMI 2 2" xfId="6847"/>
    <cellStyle name="_Tenaska Comparison_Book2_Electric Rev Req Model (2009 GRC) Rebuttal REmoval of New  WH Solar AdjustMI 3" xfId="6848"/>
    <cellStyle name="_Tenaska Comparison_Book2_Electric Rev Req Model (2009 GRC) Revised 01-18-2010" xfId="1900"/>
    <cellStyle name="_Tenaska Comparison_Book2_Electric Rev Req Model (2009 GRC) Revised 01-18-2010 2" xfId="1901"/>
    <cellStyle name="_Tenaska Comparison_Book2_Electric Rev Req Model (2009 GRC) Revised 01-18-2010 2 2" xfId="6849"/>
    <cellStyle name="_Tenaska Comparison_Book2_Electric Rev Req Model (2009 GRC) Revised 01-18-2010 3" xfId="6850"/>
    <cellStyle name="_Tenaska Comparison_Book2_Final Order Electric EXHIBIT A-1" xfId="1902"/>
    <cellStyle name="_Tenaska Comparison_Book2_Final Order Electric EXHIBIT A-1 2" xfId="4094"/>
    <cellStyle name="_Tenaska Comparison_Book2_Final Order Electric EXHIBIT A-1 2 2" xfId="6851"/>
    <cellStyle name="_Tenaska Comparison_Book2_Final Order Electric EXHIBIT A-1 3" xfId="6852"/>
    <cellStyle name="_Tenaska Comparison_Book4" xfId="1903"/>
    <cellStyle name="_Tenaska Comparison_Book4 2" xfId="1904"/>
    <cellStyle name="_Tenaska Comparison_Book4 2 2" xfId="6853"/>
    <cellStyle name="_Tenaska Comparison_Book4 3" xfId="6854"/>
    <cellStyle name="_Tenaska Comparison_Book9" xfId="1905"/>
    <cellStyle name="_Tenaska Comparison_Book9 2" xfId="1906"/>
    <cellStyle name="_Tenaska Comparison_Book9 2 2" xfId="6855"/>
    <cellStyle name="_Tenaska Comparison_Book9 3" xfId="6856"/>
    <cellStyle name="_Tenaska Comparison_Electric COS Inputs" xfId="4095"/>
    <cellStyle name="_Tenaska Comparison_Electric COS Inputs 2" xfId="4096"/>
    <cellStyle name="_Tenaska Comparison_Electric COS Inputs 2 2" xfId="4097"/>
    <cellStyle name="_Tenaska Comparison_Electric COS Inputs 2 2 2" xfId="6857"/>
    <cellStyle name="_Tenaska Comparison_Electric COS Inputs 2 3" xfId="4098"/>
    <cellStyle name="_Tenaska Comparison_Electric COS Inputs 2 3 2" xfId="6858"/>
    <cellStyle name="_Tenaska Comparison_Electric COS Inputs 2 4" xfId="4099"/>
    <cellStyle name="_Tenaska Comparison_Electric COS Inputs 2 4 2" xfId="6859"/>
    <cellStyle name="_Tenaska Comparison_Electric COS Inputs 3" xfId="4100"/>
    <cellStyle name="_Tenaska Comparison_Electric COS Inputs 3 2" xfId="6860"/>
    <cellStyle name="_Tenaska Comparison_Electric COS Inputs 4" xfId="4101"/>
    <cellStyle name="_Tenaska Comparison_Electric COS Inputs 4 2" xfId="6861"/>
    <cellStyle name="_Tenaska Comparison_Electric COS Inputs 5" xfId="6862"/>
    <cellStyle name="_Tenaska Comparison_NIM Summary" xfId="1907"/>
    <cellStyle name="_Tenaska Comparison_NIM Summary 09GRC" xfId="1908"/>
    <cellStyle name="_Tenaska Comparison_NIM Summary 09GRC 2" xfId="1909"/>
    <cellStyle name="_Tenaska Comparison_NIM Summary 2" xfId="1910"/>
    <cellStyle name="_Tenaska Comparison_NIM Summary 3" xfId="1911"/>
    <cellStyle name="_Tenaska Comparison_NIM Summary 4" xfId="3386"/>
    <cellStyle name="_Tenaska Comparison_NIM Summary 5" xfId="3387"/>
    <cellStyle name="_Tenaska Comparison_NIM Summary 6" xfId="3388"/>
    <cellStyle name="_Tenaska Comparison_NIM Summary 7" xfId="3389"/>
    <cellStyle name="_Tenaska Comparison_NIM Summary 8" xfId="3390"/>
    <cellStyle name="_Tenaska Comparison_NIM Summary 9" xfId="3391"/>
    <cellStyle name="_Tenaska Comparison_PCA 9 -  Exhibit D April 2010 (3)" xfId="1912"/>
    <cellStyle name="_Tenaska Comparison_PCA 9 -  Exhibit D April 2010 (3) 2" xfId="1913"/>
    <cellStyle name="_Tenaska Comparison_Power Costs - Comparison bx Rbtl-Staff-Jt-PC" xfId="1914"/>
    <cellStyle name="_Tenaska Comparison_Power Costs - Comparison bx Rbtl-Staff-Jt-PC 2" xfId="1915"/>
    <cellStyle name="_Tenaska Comparison_Power Costs - Comparison bx Rbtl-Staff-Jt-PC 2 2" xfId="6863"/>
    <cellStyle name="_Tenaska Comparison_Power Costs - Comparison bx Rbtl-Staff-Jt-PC 3" xfId="6864"/>
    <cellStyle name="_Tenaska Comparison_Power Costs - Comparison bx Rbtl-Staff-Jt-PC_Adj Bench DR 3 for Initial Briefs (Electric)" xfId="1916"/>
    <cellStyle name="_Tenaska Comparison_Power Costs - Comparison bx Rbtl-Staff-Jt-PC_Adj Bench DR 3 for Initial Briefs (Electric) 2" xfId="1917"/>
    <cellStyle name="_Tenaska Comparison_Power Costs - Comparison bx Rbtl-Staff-Jt-PC_Adj Bench DR 3 for Initial Briefs (Electric) 2 2" xfId="6865"/>
    <cellStyle name="_Tenaska Comparison_Power Costs - Comparison bx Rbtl-Staff-Jt-PC_Adj Bench DR 3 for Initial Briefs (Electric) 3" xfId="6866"/>
    <cellStyle name="_Tenaska Comparison_Power Costs - Comparison bx Rbtl-Staff-Jt-PC_Electric Rev Req Model (2009 GRC) Rebuttal" xfId="1918"/>
    <cellStyle name="_Tenaska Comparison_Power Costs - Comparison bx Rbtl-Staff-Jt-PC_Electric Rev Req Model (2009 GRC) Rebuttal 2" xfId="4102"/>
    <cellStyle name="_Tenaska Comparison_Power Costs - Comparison bx Rbtl-Staff-Jt-PC_Electric Rev Req Model (2009 GRC) Rebuttal 2 2" xfId="6867"/>
    <cellStyle name="_Tenaska Comparison_Power Costs - Comparison bx Rbtl-Staff-Jt-PC_Electric Rev Req Model (2009 GRC) Rebuttal 3" xfId="6868"/>
    <cellStyle name="_Tenaska Comparison_Power Costs - Comparison bx Rbtl-Staff-Jt-PC_Electric Rev Req Model (2009 GRC) Rebuttal REmoval of New  WH Solar AdjustMI" xfId="1919"/>
    <cellStyle name="_Tenaska Comparison_Power Costs - Comparison bx Rbtl-Staff-Jt-PC_Electric Rev Req Model (2009 GRC) Rebuttal REmoval of New  WH Solar AdjustMI 2" xfId="1920"/>
    <cellStyle name="_Tenaska Comparison_Power Costs - Comparison bx Rbtl-Staff-Jt-PC_Electric Rev Req Model (2009 GRC) Rebuttal REmoval of New  WH Solar AdjustMI 2 2" xfId="6869"/>
    <cellStyle name="_Tenaska Comparison_Power Costs - Comparison bx Rbtl-Staff-Jt-PC_Electric Rev Req Model (2009 GRC) Rebuttal REmoval of New  WH Solar AdjustMI 3" xfId="6870"/>
    <cellStyle name="_Tenaska Comparison_Power Costs - Comparison bx Rbtl-Staff-Jt-PC_Electric Rev Req Model (2009 GRC) Revised 01-18-2010" xfId="1921"/>
    <cellStyle name="_Tenaska Comparison_Power Costs - Comparison bx Rbtl-Staff-Jt-PC_Electric Rev Req Model (2009 GRC) Revised 01-18-2010 2" xfId="1922"/>
    <cellStyle name="_Tenaska Comparison_Power Costs - Comparison bx Rbtl-Staff-Jt-PC_Electric Rev Req Model (2009 GRC) Revised 01-18-2010 2 2" xfId="6871"/>
    <cellStyle name="_Tenaska Comparison_Power Costs - Comparison bx Rbtl-Staff-Jt-PC_Electric Rev Req Model (2009 GRC) Revised 01-18-2010 3" xfId="6872"/>
    <cellStyle name="_Tenaska Comparison_Power Costs - Comparison bx Rbtl-Staff-Jt-PC_Final Order Electric EXHIBIT A-1" xfId="1923"/>
    <cellStyle name="_Tenaska Comparison_Power Costs - Comparison bx Rbtl-Staff-Jt-PC_Final Order Electric EXHIBIT A-1 2" xfId="4103"/>
    <cellStyle name="_Tenaska Comparison_Power Costs - Comparison bx Rbtl-Staff-Jt-PC_Final Order Electric EXHIBIT A-1 2 2" xfId="6873"/>
    <cellStyle name="_Tenaska Comparison_Power Costs - Comparison bx Rbtl-Staff-Jt-PC_Final Order Electric EXHIBIT A-1 3" xfId="6874"/>
    <cellStyle name="_Tenaska Comparison_Production Adj 4.37" xfId="4104"/>
    <cellStyle name="_Tenaska Comparison_Production Adj 4.37 2" xfId="4105"/>
    <cellStyle name="_Tenaska Comparison_Production Adj 4.37 2 2" xfId="6875"/>
    <cellStyle name="_Tenaska Comparison_Production Adj 4.37 3" xfId="6876"/>
    <cellStyle name="_Tenaska Comparison_Purchased Power Adj 4.03" xfId="4106"/>
    <cellStyle name="_Tenaska Comparison_Purchased Power Adj 4.03 2" xfId="4107"/>
    <cellStyle name="_Tenaska Comparison_Purchased Power Adj 4.03 2 2" xfId="6877"/>
    <cellStyle name="_Tenaska Comparison_Purchased Power Adj 4.03 3" xfId="6878"/>
    <cellStyle name="_Tenaska Comparison_Rebuttal Power Costs" xfId="1924"/>
    <cellStyle name="_Tenaska Comparison_Rebuttal Power Costs 2" xfId="1925"/>
    <cellStyle name="_Tenaska Comparison_Rebuttal Power Costs 2 2" xfId="6879"/>
    <cellStyle name="_Tenaska Comparison_Rebuttal Power Costs 3" xfId="6880"/>
    <cellStyle name="_Tenaska Comparison_Rebuttal Power Costs_Adj Bench DR 3 for Initial Briefs (Electric)" xfId="1926"/>
    <cellStyle name="_Tenaska Comparison_Rebuttal Power Costs_Adj Bench DR 3 for Initial Briefs (Electric) 2" xfId="1927"/>
    <cellStyle name="_Tenaska Comparison_Rebuttal Power Costs_Adj Bench DR 3 for Initial Briefs (Electric) 2 2" xfId="6881"/>
    <cellStyle name="_Tenaska Comparison_Rebuttal Power Costs_Adj Bench DR 3 for Initial Briefs (Electric) 3" xfId="6882"/>
    <cellStyle name="_Tenaska Comparison_Rebuttal Power Costs_Electric Rev Req Model (2009 GRC) Rebuttal" xfId="1928"/>
    <cellStyle name="_Tenaska Comparison_Rebuttal Power Costs_Electric Rev Req Model (2009 GRC) Rebuttal 2" xfId="4108"/>
    <cellStyle name="_Tenaska Comparison_Rebuttal Power Costs_Electric Rev Req Model (2009 GRC) Rebuttal 2 2" xfId="6883"/>
    <cellStyle name="_Tenaska Comparison_Rebuttal Power Costs_Electric Rev Req Model (2009 GRC) Rebuttal 3" xfId="6884"/>
    <cellStyle name="_Tenaska Comparison_Rebuttal Power Costs_Electric Rev Req Model (2009 GRC) Rebuttal REmoval of New  WH Solar AdjustMI" xfId="1929"/>
    <cellStyle name="_Tenaska Comparison_Rebuttal Power Costs_Electric Rev Req Model (2009 GRC) Rebuttal REmoval of New  WH Solar AdjustMI 2" xfId="1930"/>
    <cellStyle name="_Tenaska Comparison_Rebuttal Power Costs_Electric Rev Req Model (2009 GRC) Rebuttal REmoval of New  WH Solar AdjustMI 2 2" xfId="6885"/>
    <cellStyle name="_Tenaska Comparison_Rebuttal Power Costs_Electric Rev Req Model (2009 GRC) Rebuttal REmoval of New  WH Solar AdjustMI 3" xfId="6886"/>
    <cellStyle name="_Tenaska Comparison_Rebuttal Power Costs_Electric Rev Req Model (2009 GRC) Revised 01-18-2010" xfId="1931"/>
    <cellStyle name="_Tenaska Comparison_Rebuttal Power Costs_Electric Rev Req Model (2009 GRC) Revised 01-18-2010 2" xfId="1932"/>
    <cellStyle name="_Tenaska Comparison_Rebuttal Power Costs_Electric Rev Req Model (2009 GRC) Revised 01-18-2010 2 2" xfId="6887"/>
    <cellStyle name="_Tenaska Comparison_Rebuttal Power Costs_Electric Rev Req Model (2009 GRC) Revised 01-18-2010 3" xfId="6888"/>
    <cellStyle name="_Tenaska Comparison_Rebuttal Power Costs_Final Order Electric EXHIBIT A-1" xfId="1933"/>
    <cellStyle name="_Tenaska Comparison_Rebuttal Power Costs_Final Order Electric EXHIBIT A-1 2" xfId="4109"/>
    <cellStyle name="_Tenaska Comparison_Rebuttal Power Costs_Final Order Electric EXHIBIT A-1 2 2" xfId="6889"/>
    <cellStyle name="_Tenaska Comparison_Rebuttal Power Costs_Final Order Electric EXHIBIT A-1 3" xfId="6890"/>
    <cellStyle name="_Tenaska Comparison_ROR 5.02" xfId="4110"/>
    <cellStyle name="_Tenaska Comparison_ROR 5.02 2" xfId="4111"/>
    <cellStyle name="_Tenaska Comparison_ROR 5.02 2 2" xfId="6891"/>
    <cellStyle name="_Tenaska Comparison_ROR 5.02 3" xfId="6892"/>
    <cellStyle name="_Tenaska Comparison_Transmission Workbook for May BOD" xfId="1934"/>
    <cellStyle name="_Tenaska Comparison_Transmission Workbook for May BOD 2" xfId="1935"/>
    <cellStyle name="_Tenaska Comparison_Wind Integration 10GRC" xfId="1936"/>
    <cellStyle name="_Tenaska Comparison_Wind Integration 10GRC 2" xfId="1937"/>
    <cellStyle name="_x0013__TENASKA REGULATORY ASSET" xfId="1938"/>
    <cellStyle name="_x0013__TENASKA REGULATORY ASSET 2" xfId="4112"/>
    <cellStyle name="_x0013__TENASKA REGULATORY ASSET 2 2" xfId="6893"/>
    <cellStyle name="_x0013__TENASKA REGULATORY ASSET 3" xfId="6894"/>
    <cellStyle name="_Therms Data" xfId="3068"/>
    <cellStyle name="_Therms Data_Pro Forma Rev 09 GRC" xfId="3069"/>
    <cellStyle name="_Therms Data_Pro Forma Rev 2010 GRC" xfId="3070"/>
    <cellStyle name="_Therms Data_Pro Forma Rev 2010 GRC_Preliminary" xfId="3071"/>
    <cellStyle name="_Therms Data_Revenue (Feb 09 - Jan 10)" xfId="3072"/>
    <cellStyle name="_Therms Data_Revenue (Jan 09 - Dec 09)" xfId="3073"/>
    <cellStyle name="_Therms Data_Revenue (Mar 09 - Feb 10)" xfId="3074"/>
    <cellStyle name="_Therms Data_Volume Exhibit (Jan09 - Dec09)" xfId="3075"/>
    <cellStyle name="_Value Copy 11 30 05 gas 12 09 05 AURORA at 12 14 05" xfId="1939"/>
    <cellStyle name="_Value Copy 11 30 05 gas 12 09 05 AURORA at 12 14 05 2" xfId="1940"/>
    <cellStyle name="_Value Copy 11 30 05 gas 12 09 05 AURORA at 12 14 05 2 2" xfId="1941"/>
    <cellStyle name="_Value Copy 11 30 05 gas 12 09 05 AURORA at 12 14 05 2 2 2" xfId="6895"/>
    <cellStyle name="_Value Copy 11 30 05 gas 12 09 05 AURORA at 12 14 05 2 3" xfId="6896"/>
    <cellStyle name="_Value Copy 11 30 05 gas 12 09 05 AURORA at 12 14 05 3" xfId="1942"/>
    <cellStyle name="_Value Copy 11 30 05 gas 12 09 05 AURORA at 12 14 05 3 2" xfId="6897"/>
    <cellStyle name="_Value Copy 11 30 05 gas 12 09 05 AURORA at 12 14 05 4" xfId="1943"/>
    <cellStyle name="_Value Copy 11 30 05 gas 12 09 05 AURORA at 12 14 05 4 2" xfId="3392"/>
    <cellStyle name="_Value Copy 11 30 05 gas 12 09 05 AURORA at 12 14 05_04 07E Wild Horse Wind Expansion (C) (2)" xfId="1944"/>
    <cellStyle name="_Value Copy 11 30 05 gas 12 09 05 AURORA at 12 14 05_04 07E Wild Horse Wind Expansion (C) (2) 2" xfId="1945"/>
    <cellStyle name="_Value Copy 11 30 05 gas 12 09 05 AURORA at 12 14 05_04 07E Wild Horse Wind Expansion (C) (2) 2 2" xfId="6898"/>
    <cellStyle name="_Value Copy 11 30 05 gas 12 09 05 AURORA at 12 14 05_04 07E Wild Horse Wind Expansion (C) (2) 3" xfId="6899"/>
    <cellStyle name="_Value Copy 11 30 05 gas 12 09 05 AURORA at 12 14 05_04 07E Wild Horse Wind Expansion (C) (2)_Adj Bench DR 3 for Initial Briefs (Electric)" xfId="1946"/>
    <cellStyle name="_Value Copy 11 30 05 gas 12 09 05 AURORA at 12 14 05_04 07E Wild Horse Wind Expansion (C) (2)_Adj Bench DR 3 for Initial Briefs (Electric) 2" xfId="1947"/>
    <cellStyle name="_Value Copy 11 30 05 gas 12 09 05 AURORA at 12 14 05_04 07E Wild Horse Wind Expansion (C) (2)_Adj Bench DR 3 for Initial Briefs (Electric) 2 2" xfId="6900"/>
    <cellStyle name="_Value Copy 11 30 05 gas 12 09 05 AURORA at 12 14 05_04 07E Wild Horse Wind Expansion (C) (2)_Adj Bench DR 3 for Initial Briefs (Electric) 3" xfId="6901"/>
    <cellStyle name="_Value Copy 11 30 05 gas 12 09 05 AURORA at 12 14 05_04 07E Wild Horse Wind Expansion (C) (2)_Electric Rev Req Model (2009 GRC) " xfId="1948"/>
    <cellStyle name="_Value Copy 11 30 05 gas 12 09 05 AURORA at 12 14 05_04 07E Wild Horse Wind Expansion (C) (2)_Electric Rev Req Model (2009 GRC)  2" xfId="1949"/>
    <cellStyle name="_Value Copy 11 30 05 gas 12 09 05 AURORA at 12 14 05_04 07E Wild Horse Wind Expansion (C) (2)_Electric Rev Req Model (2009 GRC)  2 2" xfId="6902"/>
    <cellStyle name="_Value Copy 11 30 05 gas 12 09 05 AURORA at 12 14 05_04 07E Wild Horse Wind Expansion (C) (2)_Electric Rev Req Model (2009 GRC)  3" xfId="6903"/>
    <cellStyle name="_Value Copy 11 30 05 gas 12 09 05 AURORA at 12 14 05_04 07E Wild Horse Wind Expansion (C) (2)_Electric Rev Req Model (2009 GRC) Rebuttal" xfId="1950"/>
    <cellStyle name="_Value Copy 11 30 05 gas 12 09 05 AURORA at 12 14 05_04 07E Wild Horse Wind Expansion (C) (2)_Electric Rev Req Model (2009 GRC) Rebuttal 2" xfId="4113"/>
    <cellStyle name="_Value Copy 11 30 05 gas 12 09 05 AURORA at 12 14 05_04 07E Wild Horse Wind Expansion (C) (2)_Electric Rev Req Model (2009 GRC) Rebuttal 2 2" xfId="6904"/>
    <cellStyle name="_Value Copy 11 30 05 gas 12 09 05 AURORA at 12 14 05_04 07E Wild Horse Wind Expansion (C) (2)_Electric Rev Req Model (2009 GRC) Rebuttal 3" xfId="6905"/>
    <cellStyle name="_Value Copy 11 30 05 gas 12 09 05 AURORA at 12 14 05_04 07E Wild Horse Wind Expansion (C) (2)_Electric Rev Req Model (2009 GRC) Rebuttal REmoval of New  WH Solar AdjustMI" xfId="1951"/>
    <cellStyle name="_Value Copy 11 30 05 gas 12 09 05 AURORA at 12 14 05_04 07E Wild Horse Wind Expansion (C) (2)_Electric Rev Req Model (2009 GRC) Rebuttal REmoval of New  WH Solar AdjustMI 2" xfId="1952"/>
    <cellStyle name="_Value Copy 11 30 05 gas 12 09 05 AURORA at 12 14 05_04 07E Wild Horse Wind Expansion (C) (2)_Electric Rev Req Model (2009 GRC) Rebuttal REmoval of New  WH Solar AdjustMI 2 2" xfId="6906"/>
    <cellStyle name="_Value Copy 11 30 05 gas 12 09 05 AURORA at 12 14 05_04 07E Wild Horse Wind Expansion (C) (2)_Electric Rev Req Model (2009 GRC) Rebuttal REmoval of New  WH Solar AdjustMI 3" xfId="6907"/>
    <cellStyle name="_Value Copy 11 30 05 gas 12 09 05 AURORA at 12 14 05_04 07E Wild Horse Wind Expansion (C) (2)_Electric Rev Req Model (2009 GRC) Revised 01-18-2010" xfId="1953"/>
    <cellStyle name="_Value Copy 11 30 05 gas 12 09 05 AURORA at 12 14 05_04 07E Wild Horse Wind Expansion (C) (2)_Electric Rev Req Model (2009 GRC) Revised 01-18-2010 2" xfId="1954"/>
    <cellStyle name="_Value Copy 11 30 05 gas 12 09 05 AURORA at 12 14 05_04 07E Wild Horse Wind Expansion (C) (2)_Electric Rev Req Model (2009 GRC) Revised 01-18-2010 2 2" xfId="6908"/>
    <cellStyle name="_Value Copy 11 30 05 gas 12 09 05 AURORA at 12 14 05_04 07E Wild Horse Wind Expansion (C) (2)_Electric Rev Req Model (2009 GRC) Revised 01-18-2010 3" xfId="6909"/>
    <cellStyle name="_Value Copy 11 30 05 gas 12 09 05 AURORA at 12 14 05_04 07E Wild Horse Wind Expansion (C) (2)_Final Order Electric EXHIBIT A-1" xfId="1955"/>
    <cellStyle name="_Value Copy 11 30 05 gas 12 09 05 AURORA at 12 14 05_04 07E Wild Horse Wind Expansion (C) (2)_Final Order Electric EXHIBIT A-1 2" xfId="4114"/>
    <cellStyle name="_Value Copy 11 30 05 gas 12 09 05 AURORA at 12 14 05_04 07E Wild Horse Wind Expansion (C) (2)_Final Order Electric EXHIBIT A-1 2 2" xfId="6910"/>
    <cellStyle name="_Value Copy 11 30 05 gas 12 09 05 AURORA at 12 14 05_04 07E Wild Horse Wind Expansion (C) (2)_Final Order Electric EXHIBIT A-1 3" xfId="6911"/>
    <cellStyle name="_Value Copy 11 30 05 gas 12 09 05 AURORA at 12 14 05_04 07E Wild Horse Wind Expansion (C) (2)_TENASKA REGULATORY ASSET" xfId="1956"/>
    <cellStyle name="_Value Copy 11 30 05 gas 12 09 05 AURORA at 12 14 05_04 07E Wild Horse Wind Expansion (C) (2)_TENASKA REGULATORY ASSET 2" xfId="4115"/>
    <cellStyle name="_Value Copy 11 30 05 gas 12 09 05 AURORA at 12 14 05_04 07E Wild Horse Wind Expansion (C) (2)_TENASKA REGULATORY ASSET 2 2" xfId="6912"/>
    <cellStyle name="_Value Copy 11 30 05 gas 12 09 05 AURORA at 12 14 05_04 07E Wild Horse Wind Expansion (C) (2)_TENASKA REGULATORY ASSET 3" xfId="6913"/>
    <cellStyle name="_Value Copy 11 30 05 gas 12 09 05 AURORA at 12 14 05_16.37E Wild Horse Expansion DeferralRevwrkingfile SF" xfId="1957"/>
    <cellStyle name="_Value Copy 11 30 05 gas 12 09 05 AURORA at 12 14 05_16.37E Wild Horse Expansion DeferralRevwrkingfile SF 2" xfId="1958"/>
    <cellStyle name="_Value Copy 11 30 05 gas 12 09 05 AURORA at 12 14 05_16.37E Wild Horse Expansion DeferralRevwrkingfile SF 2 2" xfId="6914"/>
    <cellStyle name="_Value Copy 11 30 05 gas 12 09 05 AURORA at 12 14 05_16.37E Wild Horse Expansion DeferralRevwrkingfile SF 3" xfId="6915"/>
    <cellStyle name="_Value Copy 11 30 05 gas 12 09 05 AURORA at 12 14 05_2009 GRC Compl Filing - Exhibit D" xfId="1959"/>
    <cellStyle name="_Value Copy 11 30 05 gas 12 09 05 AURORA at 12 14 05_2009 GRC Compl Filing - Exhibit D 2" xfId="1960"/>
    <cellStyle name="_Value Copy 11 30 05 gas 12 09 05 AURORA at 12 14 05_4 31 Regulatory Assets and Liabilities  7 06- Exhibit D" xfId="1961"/>
    <cellStyle name="_Value Copy 11 30 05 gas 12 09 05 AURORA at 12 14 05_4 31 Regulatory Assets and Liabilities  7 06- Exhibit D 2" xfId="1962"/>
    <cellStyle name="_Value Copy 11 30 05 gas 12 09 05 AURORA at 12 14 05_4 31 Regulatory Assets and Liabilities  7 06- Exhibit D 2 2" xfId="6916"/>
    <cellStyle name="_Value Copy 11 30 05 gas 12 09 05 AURORA at 12 14 05_4 31 Regulatory Assets and Liabilities  7 06- Exhibit D 3" xfId="6917"/>
    <cellStyle name="_Value Copy 11 30 05 gas 12 09 05 AURORA at 12 14 05_4 31 Regulatory Assets and Liabilities  7 06- Exhibit D_NIM Summary" xfId="1963"/>
    <cellStyle name="_Value Copy 11 30 05 gas 12 09 05 AURORA at 12 14 05_4 31 Regulatory Assets and Liabilities  7 06- Exhibit D_NIM Summary 2" xfId="1964"/>
    <cellStyle name="_Value Copy 11 30 05 gas 12 09 05 AURORA at 12 14 05_4 32 Regulatory Assets and Liabilities  7 06- Exhibit D" xfId="1965"/>
    <cellStyle name="_Value Copy 11 30 05 gas 12 09 05 AURORA at 12 14 05_4 32 Regulatory Assets and Liabilities  7 06- Exhibit D 2" xfId="1966"/>
    <cellStyle name="_Value Copy 11 30 05 gas 12 09 05 AURORA at 12 14 05_4 32 Regulatory Assets and Liabilities  7 06- Exhibit D 2 2" xfId="6918"/>
    <cellStyle name="_Value Copy 11 30 05 gas 12 09 05 AURORA at 12 14 05_4 32 Regulatory Assets and Liabilities  7 06- Exhibit D 3" xfId="6919"/>
    <cellStyle name="_Value Copy 11 30 05 gas 12 09 05 AURORA at 12 14 05_4 32 Regulatory Assets and Liabilities  7 06- Exhibit D_NIM Summary" xfId="1967"/>
    <cellStyle name="_Value Copy 11 30 05 gas 12 09 05 AURORA at 12 14 05_4 32 Regulatory Assets and Liabilities  7 06- Exhibit D_NIM Summary 2" xfId="1968"/>
    <cellStyle name="_Value Copy 11 30 05 gas 12 09 05 AURORA at 12 14 05_AURORA Total New" xfId="1969"/>
    <cellStyle name="_Value Copy 11 30 05 gas 12 09 05 AURORA at 12 14 05_AURORA Total New 2" xfId="1970"/>
    <cellStyle name="_Value Copy 11 30 05 gas 12 09 05 AURORA at 12 14 05_Book2" xfId="1971"/>
    <cellStyle name="_Value Copy 11 30 05 gas 12 09 05 AURORA at 12 14 05_Book2 2" xfId="1972"/>
    <cellStyle name="_Value Copy 11 30 05 gas 12 09 05 AURORA at 12 14 05_Book2 2 2" xfId="6920"/>
    <cellStyle name="_Value Copy 11 30 05 gas 12 09 05 AURORA at 12 14 05_Book2 3" xfId="6921"/>
    <cellStyle name="_Value Copy 11 30 05 gas 12 09 05 AURORA at 12 14 05_Book2_Adj Bench DR 3 for Initial Briefs (Electric)" xfId="1973"/>
    <cellStyle name="_Value Copy 11 30 05 gas 12 09 05 AURORA at 12 14 05_Book2_Adj Bench DR 3 for Initial Briefs (Electric) 2" xfId="1974"/>
    <cellStyle name="_Value Copy 11 30 05 gas 12 09 05 AURORA at 12 14 05_Book2_Adj Bench DR 3 for Initial Briefs (Electric) 2 2" xfId="6922"/>
    <cellStyle name="_Value Copy 11 30 05 gas 12 09 05 AURORA at 12 14 05_Book2_Adj Bench DR 3 for Initial Briefs (Electric) 3" xfId="6923"/>
    <cellStyle name="_Value Copy 11 30 05 gas 12 09 05 AURORA at 12 14 05_Book2_Electric Rev Req Model (2009 GRC) Rebuttal" xfId="1975"/>
    <cellStyle name="_Value Copy 11 30 05 gas 12 09 05 AURORA at 12 14 05_Book2_Electric Rev Req Model (2009 GRC) Rebuttal 2" xfId="4116"/>
    <cellStyle name="_Value Copy 11 30 05 gas 12 09 05 AURORA at 12 14 05_Book2_Electric Rev Req Model (2009 GRC) Rebuttal 2 2" xfId="6924"/>
    <cellStyle name="_Value Copy 11 30 05 gas 12 09 05 AURORA at 12 14 05_Book2_Electric Rev Req Model (2009 GRC) Rebuttal 3" xfId="6925"/>
    <cellStyle name="_Value Copy 11 30 05 gas 12 09 05 AURORA at 12 14 05_Book2_Electric Rev Req Model (2009 GRC) Rebuttal REmoval of New  WH Solar AdjustMI" xfId="1976"/>
    <cellStyle name="_Value Copy 11 30 05 gas 12 09 05 AURORA at 12 14 05_Book2_Electric Rev Req Model (2009 GRC) Rebuttal REmoval of New  WH Solar AdjustMI 2" xfId="1977"/>
    <cellStyle name="_Value Copy 11 30 05 gas 12 09 05 AURORA at 12 14 05_Book2_Electric Rev Req Model (2009 GRC) Rebuttal REmoval of New  WH Solar AdjustMI 2 2" xfId="6926"/>
    <cellStyle name="_Value Copy 11 30 05 gas 12 09 05 AURORA at 12 14 05_Book2_Electric Rev Req Model (2009 GRC) Rebuttal REmoval of New  WH Solar AdjustMI 3" xfId="6927"/>
    <cellStyle name="_Value Copy 11 30 05 gas 12 09 05 AURORA at 12 14 05_Book2_Electric Rev Req Model (2009 GRC) Revised 01-18-2010" xfId="1978"/>
    <cellStyle name="_Value Copy 11 30 05 gas 12 09 05 AURORA at 12 14 05_Book2_Electric Rev Req Model (2009 GRC) Revised 01-18-2010 2" xfId="1979"/>
    <cellStyle name="_Value Copy 11 30 05 gas 12 09 05 AURORA at 12 14 05_Book2_Electric Rev Req Model (2009 GRC) Revised 01-18-2010 2 2" xfId="6928"/>
    <cellStyle name="_Value Copy 11 30 05 gas 12 09 05 AURORA at 12 14 05_Book2_Electric Rev Req Model (2009 GRC) Revised 01-18-2010 3" xfId="6929"/>
    <cellStyle name="_Value Copy 11 30 05 gas 12 09 05 AURORA at 12 14 05_Book2_Final Order Electric EXHIBIT A-1" xfId="1980"/>
    <cellStyle name="_Value Copy 11 30 05 gas 12 09 05 AURORA at 12 14 05_Book2_Final Order Electric EXHIBIT A-1 2" xfId="4117"/>
    <cellStyle name="_Value Copy 11 30 05 gas 12 09 05 AURORA at 12 14 05_Book2_Final Order Electric EXHIBIT A-1 2 2" xfId="6930"/>
    <cellStyle name="_Value Copy 11 30 05 gas 12 09 05 AURORA at 12 14 05_Book2_Final Order Electric EXHIBIT A-1 3" xfId="6931"/>
    <cellStyle name="_Value Copy 11 30 05 gas 12 09 05 AURORA at 12 14 05_Book4" xfId="1981"/>
    <cellStyle name="_Value Copy 11 30 05 gas 12 09 05 AURORA at 12 14 05_Book4 2" xfId="1982"/>
    <cellStyle name="_Value Copy 11 30 05 gas 12 09 05 AURORA at 12 14 05_Book4 2 2" xfId="6932"/>
    <cellStyle name="_Value Copy 11 30 05 gas 12 09 05 AURORA at 12 14 05_Book4 3" xfId="6933"/>
    <cellStyle name="_Value Copy 11 30 05 gas 12 09 05 AURORA at 12 14 05_Book9" xfId="1983"/>
    <cellStyle name="_Value Copy 11 30 05 gas 12 09 05 AURORA at 12 14 05_Book9 2" xfId="1984"/>
    <cellStyle name="_Value Copy 11 30 05 gas 12 09 05 AURORA at 12 14 05_Book9 2 2" xfId="6934"/>
    <cellStyle name="_Value Copy 11 30 05 gas 12 09 05 AURORA at 12 14 05_Book9 3" xfId="6935"/>
    <cellStyle name="_Value Copy 11 30 05 gas 12 09 05 AURORA at 12 14 05_Direct Assignment Distribution Plant 2008" xfId="4118"/>
    <cellStyle name="_Value Copy 11 30 05 gas 12 09 05 AURORA at 12 14 05_Direct Assignment Distribution Plant 2008 2" xfId="4119"/>
    <cellStyle name="_Value Copy 11 30 05 gas 12 09 05 AURORA at 12 14 05_Direct Assignment Distribution Plant 2008 2 2" xfId="4120"/>
    <cellStyle name="_Value Copy 11 30 05 gas 12 09 05 AURORA at 12 14 05_Direct Assignment Distribution Plant 2008 2 2 2" xfId="6936"/>
    <cellStyle name="_Value Copy 11 30 05 gas 12 09 05 AURORA at 12 14 05_Direct Assignment Distribution Plant 2008 2 3" xfId="4121"/>
    <cellStyle name="_Value Copy 11 30 05 gas 12 09 05 AURORA at 12 14 05_Direct Assignment Distribution Plant 2008 2 3 2" xfId="6937"/>
    <cellStyle name="_Value Copy 11 30 05 gas 12 09 05 AURORA at 12 14 05_Direct Assignment Distribution Plant 2008 2 4" xfId="4122"/>
    <cellStyle name="_Value Copy 11 30 05 gas 12 09 05 AURORA at 12 14 05_Direct Assignment Distribution Plant 2008 2 4 2" xfId="6938"/>
    <cellStyle name="_Value Copy 11 30 05 gas 12 09 05 AURORA at 12 14 05_Direct Assignment Distribution Plant 2008 3" xfId="4123"/>
    <cellStyle name="_Value Copy 11 30 05 gas 12 09 05 AURORA at 12 14 05_Direct Assignment Distribution Plant 2008 3 2" xfId="6939"/>
    <cellStyle name="_Value Copy 11 30 05 gas 12 09 05 AURORA at 12 14 05_Direct Assignment Distribution Plant 2008 4" xfId="4124"/>
    <cellStyle name="_Value Copy 11 30 05 gas 12 09 05 AURORA at 12 14 05_Direct Assignment Distribution Plant 2008 4 2" xfId="6940"/>
    <cellStyle name="_Value Copy 11 30 05 gas 12 09 05 AURORA at 12 14 05_Direct Assignment Distribution Plant 2008 5" xfId="6941"/>
    <cellStyle name="_Value Copy 11 30 05 gas 12 09 05 AURORA at 12 14 05_Electric COS Inputs" xfId="4125"/>
    <cellStyle name="_Value Copy 11 30 05 gas 12 09 05 AURORA at 12 14 05_Electric COS Inputs 2" xfId="4126"/>
    <cellStyle name="_Value Copy 11 30 05 gas 12 09 05 AURORA at 12 14 05_Electric COS Inputs 2 2" xfId="4127"/>
    <cellStyle name="_Value Copy 11 30 05 gas 12 09 05 AURORA at 12 14 05_Electric COS Inputs 2 2 2" xfId="6942"/>
    <cellStyle name="_Value Copy 11 30 05 gas 12 09 05 AURORA at 12 14 05_Electric COS Inputs 2 3" xfId="4128"/>
    <cellStyle name="_Value Copy 11 30 05 gas 12 09 05 AURORA at 12 14 05_Electric COS Inputs 2 3 2" xfId="6943"/>
    <cellStyle name="_Value Copy 11 30 05 gas 12 09 05 AURORA at 12 14 05_Electric COS Inputs 2 4" xfId="4129"/>
    <cellStyle name="_Value Copy 11 30 05 gas 12 09 05 AURORA at 12 14 05_Electric COS Inputs 2 4 2" xfId="6944"/>
    <cellStyle name="_Value Copy 11 30 05 gas 12 09 05 AURORA at 12 14 05_Electric COS Inputs 3" xfId="4130"/>
    <cellStyle name="_Value Copy 11 30 05 gas 12 09 05 AURORA at 12 14 05_Electric COS Inputs 3 2" xfId="6945"/>
    <cellStyle name="_Value Copy 11 30 05 gas 12 09 05 AURORA at 12 14 05_Electric COS Inputs 4" xfId="4131"/>
    <cellStyle name="_Value Copy 11 30 05 gas 12 09 05 AURORA at 12 14 05_Electric COS Inputs 4 2" xfId="6946"/>
    <cellStyle name="_Value Copy 11 30 05 gas 12 09 05 AURORA at 12 14 05_Electric COS Inputs 5" xfId="6947"/>
    <cellStyle name="_Value Copy 11 30 05 gas 12 09 05 AURORA at 12 14 05_Electric Rate Spread and Rate Design 3.23.09" xfId="4132"/>
    <cellStyle name="_Value Copy 11 30 05 gas 12 09 05 AURORA at 12 14 05_Electric Rate Spread and Rate Design 3.23.09 2" xfId="4133"/>
    <cellStyle name="_Value Copy 11 30 05 gas 12 09 05 AURORA at 12 14 05_Electric Rate Spread and Rate Design 3.23.09 2 2" xfId="4134"/>
    <cellStyle name="_Value Copy 11 30 05 gas 12 09 05 AURORA at 12 14 05_Electric Rate Spread and Rate Design 3.23.09 2 2 2" xfId="6948"/>
    <cellStyle name="_Value Copy 11 30 05 gas 12 09 05 AURORA at 12 14 05_Electric Rate Spread and Rate Design 3.23.09 2 3" xfId="4135"/>
    <cellStyle name="_Value Copy 11 30 05 gas 12 09 05 AURORA at 12 14 05_Electric Rate Spread and Rate Design 3.23.09 2 3 2" xfId="6949"/>
    <cellStyle name="_Value Copy 11 30 05 gas 12 09 05 AURORA at 12 14 05_Electric Rate Spread and Rate Design 3.23.09 2 4" xfId="4136"/>
    <cellStyle name="_Value Copy 11 30 05 gas 12 09 05 AURORA at 12 14 05_Electric Rate Spread and Rate Design 3.23.09 2 4 2" xfId="6950"/>
    <cellStyle name="_Value Copy 11 30 05 gas 12 09 05 AURORA at 12 14 05_Electric Rate Spread and Rate Design 3.23.09 3" xfId="4137"/>
    <cellStyle name="_Value Copy 11 30 05 gas 12 09 05 AURORA at 12 14 05_Electric Rate Spread and Rate Design 3.23.09 3 2" xfId="6951"/>
    <cellStyle name="_Value Copy 11 30 05 gas 12 09 05 AURORA at 12 14 05_Electric Rate Spread and Rate Design 3.23.09 4" xfId="4138"/>
    <cellStyle name="_Value Copy 11 30 05 gas 12 09 05 AURORA at 12 14 05_Electric Rate Spread and Rate Design 3.23.09 4 2" xfId="6952"/>
    <cellStyle name="_Value Copy 11 30 05 gas 12 09 05 AURORA at 12 14 05_Electric Rate Spread and Rate Design 3.23.09 5" xfId="6953"/>
    <cellStyle name="_Value Copy 11 30 05 gas 12 09 05 AURORA at 12 14 05_Exhibit D fr R Gho 12-31-08" xfId="1985"/>
    <cellStyle name="_Value Copy 11 30 05 gas 12 09 05 AURORA at 12 14 05_Exhibit D fr R Gho 12-31-08 2" xfId="1986"/>
    <cellStyle name="_Value Copy 11 30 05 gas 12 09 05 AURORA at 12 14 05_Exhibit D fr R Gho 12-31-08 v2" xfId="1987"/>
    <cellStyle name="_Value Copy 11 30 05 gas 12 09 05 AURORA at 12 14 05_Exhibit D fr R Gho 12-31-08 v2 2" xfId="1988"/>
    <cellStyle name="_Value Copy 11 30 05 gas 12 09 05 AURORA at 12 14 05_Exhibit D fr R Gho 12-31-08 v2_NIM Summary" xfId="1989"/>
    <cellStyle name="_Value Copy 11 30 05 gas 12 09 05 AURORA at 12 14 05_Exhibit D fr R Gho 12-31-08 v2_NIM Summary 2" xfId="1990"/>
    <cellStyle name="_Value Copy 11 30 05 gas 12 09 05 AURORA at 12 14 05_Exhibit D fr R Gho 12-31-08_NIM Summary" xfId="1991"/>
    <cellStyle name="_Value Copy 11 30 05 gas 12 09 05 AURORA at 12 14 05_Exhibit D fr R Gho 12-31-08_NIM Summary 2" xfId="1992"/>
    <cellStyle name="_Value Copy 11 30 05 gas 12 09 05 AURORA at 12 14 05_Hopkins Ridge Prepaid Tran - Interest Earned RY 12ME Feb  '11" xfId="1993"/>
    <cellStyle name="_Value Copy 11 30 05 gas 12 09 05 AURORA at 12 14 05_Hopkins Ridge Prepaid Tran - Interest Earned RY 12ME Feb  '11 2" xfId="1994"/>
    <cellStyle name="_Value Copy 11 30 05 gas 12 09 05 AURORA at 12 14 05_Hopkins Ridge Prepaid Tran - Interest Earned RY 12ME Feb  '11_NIM Summary" xfId="1995"/>
    <cellStyle name="_Value Copy 11 30 05 gas 12 09 05 AURORA at 12 14 05_Hopkins Ridge Prepaid Tran - Interest Earned RY 12ME Feb  '11_NIM Summary 2" xfId="1996"/>
    <cellStyle name="_Value Copy 11 30 05 gas 12 09 05 AURORA at 12 14 05_Hopkins Ridge Prepaid Tran - Interest Earned RY 12ME Feb  '11_Transmission Workbook for May BOD" xfId="1997"/>
    <cellStyle name="_Value Copy 11 30 05 gas 12 09 05 AURORA at 12 14 05_Hopkins Ridge Prepaid Tran - Interest Earned RY 12ME Feb  '11_Transmission Workbook for May BOD 2" xfId="1998"/>
    <cellStyle name="_Value Copy 11 30 05 gas 12 09 05 AURORA at 12 14 05_INPUTS" xfId="4139"/>
    <cellStyle name="_Value Copy 11 30 05 gas 12 09 05 AURORA at 12 14 05_INPUTS 2" xfId="4140"/>
    <cellStyle name="_Value Copy 11 30 05 gas 12 09 05 AURORA at 12 14 05_INPUTS 2 2" xfId="4141"/>
    <cellStyle name="_Value Copy 11 30 05 gas 12 09 05 AURORA at 12 14 05_INPUTS 2 2 2" xfId="6954"/>
    <cellStyle name="_Value Copy 11 30 05 gas 12 09 05 AURORA at 12 14 05_INPUTS 2 3" xfId="4142"/>
    <cellStyle name="_Value Copy 11 30 05 gas 12 09 05 AURORA at 12 14 05_INPUTS 2 3 2" xfId="6955"/>
    <cellStyle name="_Value Copy 11 30 05 gas 12 09 05 AURORA at 12 14 05_INPUTS 2 4" xfId="4143"/>
    <cellStyle name="_Value Copy 11 30 05 gas 12 09 05 AURORA at 12 14 05_INPUTS 2 4 2" xfId="6956"/>
    <cellStyle name="_Value Copy 11 30 05 gas 12 09 05 AURORA at 12 14 05_INPUTS 3" xfId="4144"/>
    <cellStyle name="_Value Copy 11 30 05 gas 12 09 05 AURORA at 12 14 05_INPUTS 3 2" xfId="6957"/>
    <cellStyle name="_Value Copy 11 30 05 gas 12 09 05 AURORA at 12 14 05_INPUTS 4" xfId="4145"/>
    <cellStyle name="_Value Copy 11 30 05 gas 12 09 05 AURORA at 12 14 05_INPUTS 4 2" xfId="6958"/>
    <cellStyle name="_Value Copy 11 30 05 gas 12 09 05 AURORA at 12 14 05_INPUTS 5" xfId="6959"/>
    <cellStyle name="_Value Copy 11 30 05 gas 12 09 05 AURORA at 12 14 05_Leased Transformer &amp; Substation Plant &amp; Rev 12-2009" xfId="4146"/>
    <cellStyle name="_Value Copy 11 30 05 gas 12 09 05 AURORA at 12 14 05_Leased Transformer &amp; Substation Plant &amp; Rev 12-2009 2" xfId="4147"/>
    <cellStyle name="_Value Copy 11 30 05 gas 12 09 05 AURORA at 12 14 05_Leased Transformer &amp; Substation Plant &amp; Rev 12-2009 2 2" xfId="4148"/>
    <cellStyle name="_Value Copy 11 30 05 gas 12 09 05 AURORA at 12 14 05_Leased Transformer &amp; Substation Plant &amp; Rev 12-2009 2 2 2" xfId="6960"/>
    <cellStyle name="_Value Copy 11 30 05 gas 12 09 05 AURORA at 12 14 05_Leased Transformer &amp; Substation Plant &amp; Rev 12-2009 2 3" xfId="4149"/>
    <cellStyle name="_Value Copy 11 30 05 gas 12 09 05 AURORA at 12 14 05_Leased Transformer &amp; Substation Plant &amp; Rev 12-2009 2 3 2" xfId="6961"/>
    <cellStyle name="_Value Copy 11 30 05 gas 12 09 05 AURORA at 12 14 05_Leased Transformer &amp; Substation Plant &amp; Rev 12-2009 2 4" xfId="4150"/>
    <cellStyle name="_Value Copy 11 30 05 gas 12 09 05 AURORA at 12 14 05_Leased Transformer &amp; Substation Plant &amp; Rev 12-2009 2 4 2" xfId="6962"/>
    <cellStyle name="_Value Copy 11 30 05 gas 12 09 05 AURORA at 12 14 05_Leased Transformer &amp; Substation Plant &amp; Rev 12-2009 3" xfId="4151"/>
    <cellStyle name="_Value Copy 11 30 05 gas 12 09 05 AURORA at 12 14 05_Leased Transformer &amp; Substation Plant &amp; Rev 12-2009 3 2" xfId="6963"/>
    <cellStyle name="_Value Copy 11 30 05 gas 12 09 05 AURORA at 12 14 05_Leased Transformer &amp; Substation Plant &amp; Rev 12-2009 4" xfId="4152"/>
    <cellStyle name="_Value Copy 11 30 05 gas 12 09 05 AURORA at 12 14 05_Leased Transformer &amp; Substation Plant &amp; Rev 12-2009 4 2" xfId="6964"/>
    <cellStyle name="_Value Copy 11 30 05 gas 12 09 05 AURORA at 12 14 05_Leased Transformer &amp; Substation Plant &amp; Rev 12-2009 5" xfId="6965"/>
    <cellStyle name="_Value Copy 11 30 05 gas 12 09 05 AURORA at 12 14 05_NIM Summary" xfId="1999"/>
    <cellStyle name="_Value Copy 11 30 05 gas 12 09 05 AURORA at 12 14 05_NIM Summary 09GRC" xfId="2000"/>
    <cellStyle name="_Value Copy 11 30 05 gas 12 09 05 AURORA at 12 14 05_NIM Summary 09GRC 2" xfId="2001"/>
    <cellStyle name="_Value Copy 11 30 05 gas 12 09 05 AURORA at 12 14 05_NIM Summary 2" xfId="2002"/>
    <cellStyle name="_Value Copy 11 30 05 gas 12 09 05 AURORA at 12 14 05_NIM Summary 3" xfId="2003"/>
    <cellStyle name="_Value Copy 11 30 05 gas 12 09 05 AURORA at 12 14 05_NIM Summary 4" xfId="3393"/>
    <cellStyle name="_Value Copy 11 30 05 gas 12 09 05 AURORA at 12 14 05_NIM Summary 5" xfId="3394"/>
    <cellStyle name="_Value Copy 11 30 05 gas 12 09 05 AURORA at 12 14 05_NIM Summary 6" xfId="3395"/>
    <cellStyle name="_Value Copy 11 30 05 gas 12 09 05 AURORA at 12 14 05_NIM Summary 7" xfId="3396"/>
    <cellStyle name="_Value Copy 11 30 05 gas 12 09 05 AURORA at 12 14 05_NIM Summary 8" xfId="3397"/>
    <cellStyle name="_Value Copy 11 30 05 gas 12 09 05 AURORA at 12 14 05_NIM Summary 9" xfId="3398"/>
    <cellStyle name="_Value Copy 11 30 05 gas 12 09 05 AURORA at 12 14 05_PCA 7 - Exhibit D update 11_30_08 (2)" xfId="2004"/>
    <cellStyle name="_Value Copy 11 30 05 gas 12 09 05 AURORA at 12 14 05_PCA 7 - Exhibit D update 11_30_08 (2) 2" xfId="2005"/>
    <cellStyle name="_Value Copy 11 30 05 gas 12 09 05 AURORA at 12 14 05_PCA 7 - Exhibit D update 11_30_08 (2) 2 2" xfId="2006"/>
    <cellStyle name="_Value Copy 11 30 05 gas 12 09 05 AURORA at 12 14 05_PCA 7 - Exhibit D update 11_30_08 (2) 3" xfId="2007"/>
    <cellStyle name="_Value Copy 11 30 05 gas 12 09 05 AURORA at 12 14 05_PCA 7 - Exhibit D update 11_30_08 (2)_NIM Summary" xfId="2008"/>
    <cellStyle name="_Value Copy 11 30 05 gas 12 09 05 AURORA at 12 14 05_PCA 7 - Exhibit D update 11_30_08 (2)_NIM Summary 2" xfId="2009"/>
    <cellStyle name="_Value Copy 11 30 05 gas 12 09 05 AURORA at 12 14 05_PCA 9 -  Exhibit D April 2010 (3)" xfId="2010"/>
    <cellStyle name="_Value Copy 11 30 05 gas 12 09 05 AURORA at 12 14 05_PCA 9 -  Exhibit D April 2010 (3) 2" xfId="2011"/>
    <cellStyle name="_Value Copy 11 30 05 gas 12 09 05 AURORA at 12 14 05_Power Costs - Comparison bx Rbtl-Staff-Jt-PC" xfId="2012"/>
    <cellStyle name="_Value Copy 11 30 05 gas 12 09 05 AURORA at 12 14 05_Power Costs - Comparison bx Rbtl-Staff-Jt-PC 2" xfId="2013"/>
    <cellStyle name="_Value Copy 11 30 05 gas 12 09 05 AURORA at 12 14 05_Power Costs - Comparison bx Rbtl-Staff-Jt-PC 2 2" xfId="6966"/>
    <cellStyle name="_Value Copy 11 30 05 gas 12 09 05 AURORA at 12 14 05_Power Costs - Comparison bx Rbtl-Staff-Jt-PC 3" xfId="6967"/>
    <cellStyle name="_Value Copy 11 30 05 gas 12 09 05 AURORA at 12 14 05_Power Costs - Comparison bx Rbtl-Staff-Jt-PC_Adj Bench DR 3 for Initial Briefs (Electric)" xfId="2014"/>
    <cellStyle name="_Value Copy 11 30 05 gas 12 09 05 AURORA at 12 14 05_Power Costs - Comparison bx Rbtl-Staff-Jt-PC_Adj Bench DR 3 for Initial Briefs (Electric) 2" xfId="2015"/>
    <cellStyle name="_Value Copy 11 30 05 gas 12 09 05 AURORA at 12 14 05_Power Costs - Comparison bx Rbtl-Staff-Jt-PC_Adj Bench DR 3 for Initial Briefs (Electric) 2 2" xfId="6968"/>
    <cellStyle name="_Value Copy 11 30 05 gas 12 09 05 AURORA at 12 14 05_Power Costs - Comparison bx Rbtl-Staff-Jt-PC_Adj Bench DR 3 for Initial Briefs (Electric) 3" xfId="6969"/>
    <cellStyle name="_Value Copy 11 30 05 gas 12 09 05 AURORA at 12 14 05_Power Costs - Comparison bx Rbtl-Staff-Jt-PC_Electric Rev Req Model (2009 GRC) Rebuttal" xfId="2016"/>
    <cellStyle name="_Value Copy 11 30 05 gas 12 09 05 AURORA at 12 14 05_Power Costs - Comparison bx Rbtl-Staff-Jt-PC_Electric Rev Req Model (2009 GRC) Rebuttal 2" xfId="4153"/>
    <cellStyle name="_Value Copy 11 30 05 gas 12 09 05 AURORA at 12 14 05_Power Costs - Comparison bx Rbtl-Staff-Jt-PC_Electric Rev Req Model (2009 GRC) Rebuttal 2 2" xfId="6970"/>
    <cellStyle name="_Value Copy 11 30 05 gas 12 09 05 AURORA at 12 14 05_Power Costs - Comparison bx Rbtl-Staff-Jt-PC_Electric Rev Req Model (2009 GRC) Rebuttal 3" xfId="6971"/>
    <cellStyle name="_Value Copy 11 30 05 gas 12 09 05 AURORA at 12 14 05_Power Costs - Comparison bx Rbtl-Staff-Jt-PC_Electric Rev Req Model (2009 GRC) Rebuttal REmoval of New  WH Solar AdjustMI" xfId="2017"/>
    <cellStyle name="_Value Copy 11 30 05 gas 12 09 05 AURORA at 12 14 05_Power Costs - Comparison bx Rbtl-Staff-Jt-PC_Electric Rev Req Model (2009 GRC) Rebuttal REmoval of New  WH Solar AdjustMI 2" xfId="2018"/>
    <cellStyle name="_Value Copy 11 30 05 gas 12 09 05 AURORA at 12 14 05_Power Costs - Comparison bx Rbtl-Staff-Jt-PC_Electric Rev Req Model (2009 GRC) Rebuttal REmoval of New  WH Solar AdjustMI 2 2" xfId="6972"/>
    <cellStyle name="_Value Copy 11 30 05 gas 12 09 05 AURORA at 12 14 05_Power Costs - Comparison bx Rbtl-Staff-Jt-PC_Electric Rev Req Model (2009 GRC) Rebuttal REmoval of New  WH Solar AdjustMI 3" xfId="6973"/>
    <cellStyle name="_Value Copy 11 30 05 gas 12 09 05 AURORA at 12 14 05_Power Costs - Comparison bx Rbtl-Staff-Jt-PC_Electric Rev Req Model (2009 GRC) Revised 01-18-2010" xfId="2019"/>
    <cellStyle name="_Value Copy 11 30 05 gas 12 09 05 AURORA at 12 14 05_Power Costs - Comparison bx Rbtl-Staff-Jt-PC_Electric Rev Req Model (2009 GRC) Revised 01-18-2010 2" xfId="2020"/>
    <cellStyle name="_Value Copy 11 30 05 gas 12 09 05 AURORA at 12 14 05_Power Costs - Comparison bx Rbtl-Staff-Jt-PC_Electric Rev Req Model (2009 GRC) Revised 01-18-2010 2 2" xfId="6974"/>
    <cellStyle name="_Value Copy 11 30 05 gas 12 09 05 AURORA at 12 14 05_Power Costs - Comparison bx Rbtl-Staff-Jt-PC_Electric Rev Req Model (2009 GRC) Revised 01-18-2010 3" xfId="6975"/>
    <cellStyle name="_Value Copy 11 30 05 gas 12 09 05 AURORA at 12 14 05_Power Costs - Comparison bx Rbtl-Staff-Jt-PC_Final Order Electric EXHIBIT A-1" xfId="2021"/>
    <cellStyle name="_Value Copy 11 30 05 gas 12 09 05 AURORA at 12 14 05_Power Costs - Comparison bx Rbtl-Staff-Jt-PC_Final Order Electric EXHIBIT A-1 2" xfId="4154"/>
    <cellStyle name="_Value Copy 11 30 05 gas 12 09 05 AURORA at 12 14 05_Power Costs - Comparison bx Rbtl-Staff-Jt-PC_Final Order Electric EXHIBIT A-1 2 2" xfId="6976"/>
    <cellStyle name="_Value Copy 11 30 05 gas 12 09 05 AURORA at 12 14 05_Power Costs - Comparison bx Rbtl-Staff-Jt-PC_Final Order Electric EXHIBIT A-1 3" xfId="6977"/>
    <cellStyle name="_Value Copy 11 30 05 gas 12 09 05 AURORA at 12 14 05_Production Adj 4.37" xfId="4155"/>
    <cellStyle name="_Value Copy 11 30 05 gas 12 09 05 AURORA at 12 14 05_Production Adj 4.37 2" xfId="4156"/>
    <cellStyle name="_Value Copy 11 30 05 gas 12 09 05 AURORA at 12 14 05_Production Adj 4.37 2 2" xfId="6978"/>
    <cellStyle name="_Value Copy 11 30 05 gas 12 09 05 AURORA at 12 14 05_Production Adj 4.37 3" xfId="6979"/>
    <cellStyle name="_Value Copy 11 30 05 gas 12 09 05 AURORA at 12 14 05_Purchased Power Adj 4.03" xfId="4157"/>
    <cellStyle name="_Value Copy 11 30 05 gas 12 09 05 AURORA at 12 14 05_Purchased Power Adj 4.03 2" xfId="4158"/>
    <cellStyle name="_Value Copy 11 30 05 gas 12 09 05 AURORA at 12 14 05_Purchased Power Adj 4.03 2 2" xfId="6980"/>
    <cellStyle name="_Value Copy 11 30 05 gas 12 09 05 AURORA at 12 14 05_Purchased Power Adj 4.03 3" xfId="6981"/>
    <cellStyle name="_Value Copy 11 30 05 gas 12 09 05 AURORA at 12 14 05_Rate Design Sch 24" xfId="4159"/>
    <cellStyle name="_Value Copy 11 30 05 gas 12 09 05 AURORA at 12 14 05_Rate Design Sch 24 2" xfId="6982"/>
    <cellStyle name="_Value Copy 11 30 05 gas 12 09 05 AURORA at 12 14 05_Rate Design Sch 25" xfId="4160"/>
    <cellStyle name="_Value Copy 11 30 05 gas 12 09 05 AURORA at 12 14 05_Rate Design Sch 25 2" xfId="4161"/>
    <cellStyle name="_Value Copy 11 30 05 gas 12 09 05 AURORA at 12 14 05_Rate Design Sch 25 2 2" xfId="6983"/>
    <cellStyle name="_Value Copy 11 30 05 gas 12 09 05 AURORA at 12 14 05_Rate Design Sch 25 3" xfId="6984"/>
    <cellStyle name="_Value Copy 11 30 05 gas 12 09 05 AURORA at 12 14 05_Rate Design Sch 26" xfId="4162"/>
    <cellStyle name="_Value Copy 11 30 05 gas 12 09 05 AURORA at 12 14 05_Rate Design Sch 26 2" xfId="4163"/>
    <cellStyle name="_Value Copy 11 30 05 gas 12 09 05 AURORA at 12 14 05_Rate Design Sch 26 2 2" xfId="6985"/>
    <cellStyle name="_Value Copy 11 30 05 gas 12 09 05 AURORA at 12 14 05_Rate Design Sch 26 3" xfId="6986"/>
    <cellStyle name="_Value Copy 11 30 05 gas 12 09 05 AURORA at 12 14 05_Rate Design Sch 31" xfId="4164"/>
    <cellStyle name="_Value Copy 11 30 05 gas 12 09 05 AURORA at 12 14 05_Rate Design Sch 31 2" xfId="4165"/>
    <cellStyle name="_Value Copy 11 30 05 gas 12 09 05 AURORA at 12 14 05_Rate Design Sch 31 2 2" xfId="6987"/>
    <cellStyle name="_Value Copy 11 30 05 gas 12 09 05 AURORA at 12 14 05_Rate Design Sch 31 3" xfId="6988"/>
    <cellStyle name="_Value Copy 11 30 05 gas 12 09 05 AURORA at 12 14 05_Rate Design Sch 43" xfId="4166"/>
    <cellStyle name="_Value Copy 11 30 05 gas 12 09 05 AURORA at 12 14 05_Rate Design Sch 43 2" xfId="4167"/>
    <cellStyle name="_Value Copy 11 30 05 gas 12 09 05 AURORA at 12 14 05_Rate Design Sch 43 2 2" xfId="6989"/>
    <cellStyle name="_Value Copy 11 30 05 gas 12 09 05 AURORA at 12 14 05_Rate Design Sch 43 3" xfId="6990"/>
    <cellStyle name="_Value Copy 11 30 05 gas 12 09 05 AURORA at 12 14 05_Rate Design Sch 448-449" xfId="4168"/>
    <cellStyle name="_Value Copy 11 30 05 gas 12 09 05 AURORA at 12 14 05_Rate Design Sch 448-449 2" xfId="6991"/>
    <cellStyle name="_Value Copy 11 30 05 gas 12 09 05 AURORA at 12 14 05_Rate Design Sch 46" xfId="4169"/>
    <cellStyle name="_Value Copy 11 30 05 gas 12 09 05 AURORA at 12 14 05_Rate Design Sch 46 2" xfId="4170"/>
    <cellStyle name="_Value Copy 11 30 05 gas 12 09 05 AURORA at 12 14 05_Rate Design Sch 46 2 2" xfId="6992"/>
    <cellStyle name="_Value Copy 11 30 05 gas 12 09 05 AURORA at 12 14 05_Rate Design Sch 46 3" xfId="6993"/>
    <cellStyle name="_Value Copy 11 30 05 gas 12 09 05 AURORA at 12 14 05_Rate Spread" xfId="4171"/>
    <cellStyle name="_Value Copy 11 30 05 gas 12 09 05 AURORA at 12 14 05_Rate Spread 2" xfId="4172"/>
    <cellStyle name="_Value Copy 11 30 05 gas 12 09 05 AURORA at 12 14 05_Rate Spread 2 2" xfId="6994"/>
    <cellStyle name="_Value Copy 11 30 05 gas 12 09 05 AURORA at 12 14 05_Rate Spread 3" xfId="6995"/>
    <cellStyle name="_Value Copy 11 30 05 gas 12 09 05 AURORA at 12 14 05_Rebuttal Power Costs" xfId="2022"/>
    <cellStyle name="_Value Copy 11 30 05 gas 12 09 05 AURORA at 12 14 05_Rebuttal Power Costs 2" xfId="2023"/>
    <cellStyle name="_Value Copy 11 30 05 gas 12 09 05 AURORA at 12 14 05_Rebuttal Power Costs 2 2" xfId="6996"/>
    <cellStyle name="_Value Copy 11 30 05 gas 12 09 05 AURORA at 12 14 05_Rebuttal Power Costs 3" xfId="6997"/>
    <cellStyle name="_Value Copy 11 30 05 gas 12 09 05 AURORA at 12 14 05_Rebuttal Power Costs_Adj Bench DR 3 for Initial Briefs (Electric)" xfId="2024"/>
    <cellStyle name="_Value Copy 11 30 05 gas 12 09 05 AURORA at 12 14 05_Rebuttal Power Costs_Adj Bench DR 3 for Initial Briefs (Electric) 2" xfId="2025"/>
    <cellStyle name="_Value Copy 11 30 05 gas 12 09 05 AURORA at 12 14 05_Rebuttal Power Costs_Adj Bench DR 3 for Initial Briefs (Electric) 2 2" xfId="6998"/>
    <cellStyle name="_Value Copy 11 30 05 gas 12 09 05 AURORA at 12 14 05_Rebuttal Power Costs_Adj Bench DR 3 for Initial Briefs (Electric) 3" xfId="6999"/>
    <cellStyle name="_Value Copy 11 30 05 gas 12 09 05 AURORA at 12 14 05_Rebuttal Power Costs_Electric Rev Req Model (2009 GRC) Rebuttal" xfId="2026"/>
    <cellStyle name="_Value Copy 11 30 05 gas 12 09 05 AURORA at 12 14 05_Rebuttal Power Costs_Electric Rev Req Model (2009 GRC) Rebuttal 2" xfId="4173"/>
    <cellStyle name="_Value Copy 11 30 05 gas 12 09 05 AURORA at 12 14 05_Rebuttal Power Costs_Electric Rev Req Model (2009 GRC) Rebuttal 2 2" xfId="7000"/>
    <cellStyle name="_Value Copy 11 30 05 gas 12 09 05 AURORA at 12 14 05_Rebuttal Power Costs_Electric Rev Req Model (2009 GRC) Rebuttal 3" xfId="7001"/>
    <cellStyle name="_Value Copy 11 30 05 gas 12 09 05 AURORA at 12 14 05_Rebuttal Power Costs_Electric Rev Req Model (2009 GRC) Rebuttal REmoval of New  WH Solar AdjustMI" xfId="2027"/>
    <cellStyle name="_Value Copy 11 30 05 gas 12 09 05 AURORA at 12 14 05_Rebuttal Power Costs_Electric Rev Req Model (2009 GRC) Rebuttal REmoval of New  WH Solar AdjustMI 2" xfId="2028"/>
    <cellStyle name="_Value Copy 11 30 05 gas 12 09 05 AURORA at 12 14 05_Rebuttal Power Costs_Electric Rev Req Model (2009 GRC) Rebuttal REmoval of New  WH Solar AdjustMI 2 2" xfId="7002"/>
    <cellStyle name="_Value Copy 11 30 05 gas 12 09 05 AURORA at 12 14 05_Rebuttal Power Costs_Electric Rev Req Model (2009 GRC) Rebuttal REmoval of New  WH Solar AdjustMI 3" xfId="7003"/>
    <cellStyle name="_Value Copy 11 30 05 gas 12 09 05 AURORA at 12 14 05_Rebuttal Power Costs_Electric Rev Req Model (2009 GRC) Revised 01-18-2010" xfId="2029"/>
    <cellStyle name="_Value Copy 11 30 05 gas 12 09 05 AURORA at 12 14 05_Rebuttal Power Costs_Electric Rev Req Model (2009 GRC) Revised 01-18-2010 2" xfId="2030"/>
    <cellStyle name="_Value Copy 11 30 05 gas 12 09 05 AURORA at 12 14 05_Rebuttal Power Costs_Electric Rev Req Model (2009 GRC) Revised 01-18-2010 2 2" xfId="7004"/>
    <cellStyle name="_Value Copy 11 30 05 gas 12 09 05 AURORA at 12 14 05_Rebuttal Power Costs_Electric Rev Req Model (2009 GRC) Revised 01-18-2010 3" xfId="7005"/>
    <cellStyle name="_Value Copy 11 30 05 gas 12 09 05 AURORA at 12 14 05_Rebuttal Power Costs_Final Order Electric EXHIBIT A-1" xfId="2031"/>
    <cellStyle name="_Value Copy 11 30 05 gas 12 09 05 AURORA at 12 14 05_Rebuttal Power Costs_Final Order Electric EXHIBIT A-1 2" xfId="4174"/>
    <cellStyle name="_Value Copy 11 30 05 gas 12 09 05 AURORA at 12 14 05_Rebuttal Power Costs_Final Order Electric EXHIBIT A-1 2 2" xfId="7006"/>
    <cellStyle name="_Value Copy 11 30 05 gas 12 09 05 AURORA at 12 14 05_Rebuttal Power Costs_Final Order Electric EXHIBIT A-1 3" xfId="7007"/>
    <cellStyle name="_Value Copy 11 30 05 gas 12 09 05 AURORA at 12 14 05_ROR 5.02" xfId="4175"/>
    <cellStyle name="_Value Copy 11 30 05 gas 12 09 05 AURORA at 12 14 05_ROR 5.02 2" xfId="4176"/>
    <cellStyle name="_Value Copy 11 30 05 gas 12 09 05 AURORA at 12 14 05_ROR 5.02 2 2" xfId="7008"/>
    <cellStyle name="_Value Copy 11 30 05 gas 12 09 05 AURORA at 12 14 05_ROR 5.02 3" xfId="7009"/>
    <cellStyle name="_Value Copy 11 30 05 gas 12 09 05 AURORA at 12 14 05_Sch 40 Feeder OH 2008" xfId="4177"/>
    <cellStyle name="_Value Copy 11 30 05 gas 12 09 05 AURORA at 12 14 05_Sch 40 Feeder OH 2008 2" xfId="4178"/>
    <cellStyle name="_Value Copy 11 30 05 gas 12 09 05 AURORA at 12 14 05_Sch 40 Feeder OH 2008 2 2" xfId="7010"/>
    <cellStyle name="_Value Copy 11 30 05 gas 12 09 05 AURORA at 12 14 05_Sch 40 Feeder OH 2008 3" xfId="7011"/>
    <cellStyle name="_Value Copy 11 30 05 gas 12 09 05 AURORA at 12 14 05_Sch 40 Interim Energy Rates " xfId="4179"/>
    <cellStyle name="_Value Copy 11 30 05 gas 12 09 05 AURORA at 12 14 05_Sch 40 Interim Energy Rates  2" xfId="4180"/>
    <cellStyle name="_Value Copy 11 30 05 gas 12 09 05 AURORA at 12 14 05_Sch 40 Interim Energy Rates  2 2" xfId="7012"/>
    <cellStyle name="_Value Copy 11 30 05 gas 12 09 05 AURORA at 12 14 05_Sch 40 Interim Energy Rates  3" xfId="7013"/>
    <cellStyle name="_Value Copy 11 30 05 gas 12 09 05 AURORA at 12 14 05_Sch 40 Substation A&amp;G 2008" xfId="4181"/>
    <cellStyle name="_Value Copy 11 30 05 gas 12 09 05 AURORA at 12 14 05_Sch 40 Substation A&amp;G 2008 2" xfId="4182"/>
    <cellStyle name="_Value Copy 11 30 05 gas 12 09 05 AURORA at 12 14 05_Sch 40 Substation A&amp;G 2008 2 2" xfId="7014"/>
    <cellStyle name="_Value Copy 11 30 05 gas 12 09 05 AURORA at 12 14 05_Sch 40 Substation A&amp;G 2008 3" xfId="7015"/>
    <cellStyle name="_Value Copy 11 30 05 gas 12 09 05 AURORA at 12 14 05_Sch 40 Substation O&amp;M 2008" xfId="4183"/>
    <cellStyle name="_Value Copy 11 30 05 gas 12 09 05 AURORA at 12 14 05_Sch 40 Substation O&amp;M 2008 2" xfId="4184"/>
    <cellStyle name="_Value Copy 11 30 05 gas 12 09 05 AURORA at 12 14 05_Sch 40 Substation O&amp;M 2008 2 2" xfId="7016"/>
    <cellStyle name="_Value Copy 11 30 05 gas 12 09 05 AURORA at 12 14 05_Sch 40 Substation O&amp;M 2008 3" xfId="7017"/>
    <cellStyle name="_Value Copy 11 30 05 gas 12 09 05 AURORA at 12 14 05_Subs 2008" xfId="4185"/>
    <cellStyle name="_Value Copy 11 30 05 gas 12 09 05 AURORA at 12 14 05_Subs 2008 2" xfId="4186"/>
    <cellStyle name="_Value Copy 11 30 05 gas 12 09 05 AURORA at 12 14 05_Subs 2008 2 2" xfId="7018"/>
    <cellStyle name="_Value Copy 11 30 05 gas 12 09 05 AURORA at 12 14 05_Subs 2008 3" xfId="7019"/>
    <cellStyle name="_Value Copy 11 30 05 gas 12 09 05 AURORA at 12 14 05_Transmission Workbook for May BOD" xfId="2032"/>
    <cellStyle name="_Value Copy 11 30 05 gas 12 09 05 AURORA at 12 14 05_Transmission Workbook for May BOD 2" xfId="2033"/>
    <cellStyle name="_Value Copy 11 30 05 gas 12 09 05 AURORA at 12 14 05_Wind Integration 10GRC" xfId="2034"/>
    <cellStyle name="_Value Copy 11 30 05 gas 12 09 05 AURORA at 12 14 05_Wind Integration 10GRC 2" xfId="2035"/>
    <cellStyle name="_VC 6.15.06 update on 06GRC power costs.xls Chart 1" xfId="2036"/>
    <cellStyle name="_VC 6.15.06 update on 06GRC power costs.xls Chart 1 2" xfId="2037"/>
    <cellStyle name="_VC 6.15.06 update on 06GRC power costs.xls Chart 1 2 2" xfId="2038"/>
    <cellStyle name="_VC 6.15.06 update on 06GRC power costs.xls Chart 1 2 2 2" xfId="7020"/>
    <cellStyle name="_VC 6.15.06 update on 06GRC power costs.xls Chart 1 2 3" xfId="7021"/>
    <cellStyle name="_VC 6.15.06 update on 06GRC power costs.xls Chart 1 3" xfId="2039"/>
    <cellStyle name="_VC 6.15.06 update on 06GRC power costs.xls Chart 1 3 2" xfId="4187"/>
    <cellStyle name="_VC 6.15.06 update on 06GRC power costs.xls Chart 1 3 2 2" xfId="7022"/>
    <cellStyle name="_VC 6.15.06 update on 06GRC power costs.xls Chart 1 3 3" xfId="4188"/>
    <cellStyle name="_VC 6.15.06 update on 06GRC power costs.xls Chart 1 3 3 2" xfId="7023"/>
    <cellStyle name="_VC 6.15.06 update on 06GRC power costs.xls Chart 1 3 4" xfId="4189"/>
    <cellStyle name="_VC 6.15.06 update on 06GRC power costs.xls Chart 1 3 4 2" xfId="7024"/>
    <cellStyle name="_VC 6.15.06 update on 06GRC power costs.xls Chart 1 4" xfId="2040"/>
    <cellStyle name="_VC 6.15.06 update on 06GRC power costs.xls Chart 1 4 2" xfId="3399"/>
    <cellStyle name="_VC 6.15.06 update on 06GRC power costs.xls Chart 1 5" xfId="7025"/>
    <cellStyle name="_VC 6.15.06 update on 06GRC power costs.xls Chart 1_04 07E Wild Horse Wind Expansion (C) (2)" xfId="2041"/>
    <cellStyle name="_VC 6.15.06 update on 06GRC power costs.xls Chart 1_04 07E Wild Horse Wind Expansion (C) (2) 2" xfId="2042"/>
    <cellStyle name="_VC 6.15.06 update on 06GRC power costs.xls Chart 1_04 07E Wild Horse Wind Expansion (C) (2) 2 2" xfId="7026"/>
    <cellStyle name="_VC 6.15.06 update on 06GRC power costs.xls Chart 1_04 07E Wild Horse Wind Expansion (C) (2) 3" xfId="7027"/>
    <cellStyle name="_VC 6.15.06 update on 06GRC power costs.xls Chart 1_04 07E Wild Horse Wind Expansion (C) (2)_Adj Bench DR 3 for Initial Briefs (Electric)" xfId="2043"/>
    <cellStyle name="_VC 6.15.06 update on 06GRC power costs.xls Chart 1_04 07E Wild Horse Wind Expansion (C) (2)_Adj Bench DR 3 for Initial Briefs (Electric) 2" xfId="2044"/>
    <cellStyle name="_VC 6.15.06 update on 06GRC power costs.xls Chart 1_04 07E Wild Horse Wind Expansion (C) (2)_Adj Bench DR 3 for Initial Briefs (Electric) 2 2" xfId="7028"/>
    <cellStyle name="_VC 6.15.06 update on 06GRC power costs.xls Chart 1_04 07E Wild Horse Wind Expansion (C) (2)_Adj Bench DR 3 for Initial Briefs (Electric) 3" xfId="7029"/>
    <cellStyle name="_VC 6.15.06 update on 06GRC power costs.xls Chart 1_04 07E Wild Horse Wind Expansion (C) (2)_Electric Rev Req Model (2009 GRC) " xfId="2045"/>
    <cellStyle name="_VC 6.15.06 update on 06GRC power costs.xls Chart 1_04 07E Wild Horse Wind Expansion (C) (2)_Electric Rev Req Model (2009 GRC)  2" xfId="2046"/>
    <cellStyle name="_VC 6.15.06 update on 06GRC power costs.xls Chart 1_04 07E Wild Horse Wind Expansion (C) (2)_Electric Rev Req Model (2009 GRC)  2 2" xfId="7030"/>
    <cellStyle name="_VC 6.15.06 update on 06GRC power costs.xls Chart 1_04 07E Wild Horse Wind Expansion (C) (2)_Electric Rev Req Model (2009 GRC)  3" xfId="7031"/>
    <cellStyle name="_VC 6.15.06 update on 06GRC power costs.xls Chart 1_04 07E Wild Horse Wind Expansion (C) (2)_Electric Rev Req Model (2009 GRC) Rebuttal" xfId="2047"/>
    <cellStyle name="_VC 6.15.06 update on 06GRC power costs.xls Chart 1_04 07E Wild Horse Wind Expansion (C) (2)_Electric Rev Req Model (2009 GRC) Rebuttal 2" xfId="4190"/>
    <cellStyle name="_VC 6.15.06 update on 06GRC power costs.xls Chart 1_04 07E Wild Horse Wind Expansion (C) (2)_Electric Rev Req Model (2009 GRC) Rebuttal 2 2" xfId="7032"/>
    <cellStyle name="_VC 6.15.06 update on 06GRC power costs.xls Chart 1_04 07E Wild Horse Wind Expansion (C) (2)_Electric Rev Req Model (2009 GRC) Rebuttal 3" xfId="7033"/>
    <cellStyle name="_VC 6.15.06 update on 06GRC power costs.xls Chart 1_04 07E Wild Horse Wind Expansion (C) (2)_Electric Rev Req Model (2009 GRC) Rebuttal REmoval of New  WH Solar AdjustMI" xfId="2048"/>
    <cellStyle name="_VC 6.15.06 update on 06GRC power costs.xls Chart 1_04 07E Wild Horse Wind Expansion (C) (2)_Electric Rev Req Model (2009 GRC) Rebuttal REmoval of New  WH Solar AdjustMI 2" xfId="2049"/>
    <cellStyle name="_VC 6.15.06 update on 06GRC power costs.xls Chart 1_04 07E Wild Horse Wind Expansion (C) (2)_Electric Rev Req Model (2009 GRC) Rebuttal REmoval of New  WH Solar AdjustMI 2 2" xfId="7034"/>
    <cellStyle name="_VC 6.15.06 update on 06GRC power costs.xls Chart 1_04 07E Wild Horse Wind Expansion (C) (2)_Electric Rev Req Model (2009 GRC) Rebuttal REmoval of New  WH Solar AdjustMI 3" xfId="7035"/>
    <cellStyle name="_VC 6.15.06 update on 06GRC power costs.xls Chart 1_04 07E Wild Horse Wind Expansion (C) (2)_Electric Rev Req Model (2009 GRC) Revised 01-18-2010" xfId="2050"/>
    <cellStyle name="_VC 6.15.06 update on 06GRC power costs.xls Chart 1_04 07E Wild Horse Wind Expansion (C) (2)_Electric Rev Req Model (2009 GRC) Revised 01-18-2010 2" xfId="2051"/>
    <cellStyle name="_VC 6.15.06 update on 06GRC power costs.xls Chart 1_04 07E Wild Horse Wind Expansion (C) (2)_Electric Rev Req Model (2009 GRC) Revised 01-18-2010 2 2" xfId="7036"/>
    <cellStyle name="_VC 6.15.06 update on 06GRC power costs.xls Chart 1_04 07E Wild Horse Wind Expansion (C) (2)_Electric Rev Req Model (2009 GRC) Revised 01-18-2010 3" xfId="7037"/>
    <cellStyle name="_VC 6.15.06 update on 06GRC power costs.xls Chart 1_04 07E Wild Horse Wind Expansion (C) (2)_Final Order Electric EXHIBIT A-1" xfId="2052"/>
    <cellStyle name="_VC 6.15.06 update on 06GRC power costs.xls Chart 1_04 07E Wild Horse Wind Expansion (C) (2)_Final Order Electric EXHIBIT A-1 2" xfId="4191"/>
    <cellStyle name="_VC 6.15.06 update on 06GRC power costs.xls Chart 1_04 07E Wild Horse Wind Expansion (C) (2)_Final Order Electric EXHIBIT A-1 2 2" xfId="7038"/>
    <cellStyle name="_VC 6.15.06 update on 06GRC power costs.xls Chart 1_04 07E Wild Horse Wind Expansion (C) (2)_Final Order Electric EXHIBIT A-1 3" xfId="7039"/>
    <cellStyle name="_VC 6.15.06 update on 06GRC power costs.xls Chart 1_04 07E Wild Horse Wind Expansion (C) (2)_TENASKA REGULATORY ASSET" xfId="2053"/>
    <cellStyle name="_VC 6.15.06 update on 06GRC power costs.xls Chart 1_04 07E Wild Horse Wind Expansion (C) (2)_TENASKA REGULATORY ASSET 2" xfId="4192"/>
    <cellStyle name="_VC 6.15.06 update on 06GRC power costs.xls Chart 1_04 07E Wild Horse Wind Expansion (C) (2)_TENASKA REGULATORY ASSET 2 2" xfId="7040"/>
    <cellStyle name="_VC 6.15.06 update on 06GRC power costs.xls Chart 1_04 07E Wild Horse Wind Expansion (C) (2)_TENASKA REGULATORY ASSET 3" xfId="7041"/>
    <cellStyle name="_VC 6.15.06 update on 06GRC power costs.xls Chart 1_16.37E Wild Horse Expansion DeferralRevwrkingfile SF" xfId="2054"/>
    <cellStyle name="_VC 6.15.06 update on 06GRC power costs.xls Chart 1_16.37E Wild Horse Expansion DeferralRevwrkingfile SF 2" xfId="2055"/>
    <cellStyle name="_VC 6.15.06 update on 06GRC power costs.xls Chart 1_16.37E Wild Horse Expansion DeferralRevwrkingfile SF 2 2" xfId="7042"/>
    <cellStyle name="_VC 6.15.06 update on 06GRC power costs.xls Chart 1_16.37E Wild Horse Expansion DeferralRevwrkingfile SF 3" xfId="7043"/>
    <cellStyle name="_VC 6.15.06 update on 06GRC power costs.xls Chart 1_2009 GRC Compl Filing - Exhibit D" xfId="2056"/>
    <cellStyle name="_VC 6.15.06 update on 06GRC power costs.xls Chart 1_2009 GRC Compl Filing - Exhibit D 2" xfId="2057"/>
    <cellStyle name="_VC 6.15.06 update on 06GRC power costs.xls Chart 1_4 31 Regulatory Assets and Liabilities  7 06- Exhibit D" xfId="2058"/>
    <cellStyle name="_VC 6.15.06 update on 06GRC power costs.xls Chart 1_4 31 Regulatory Assets and Liabilities  7 06- Exhibit D 2" xfId="2059"/>
    <cellStyle name="_VC 6.15.06 update on 06GRC power costs.xls Chart 1_4 31 Regulatory Assets and Liabilities  7 06- Exhibit D 2 2" xfId="7044"/>
    <cellStyle name="_VC 6.15.06 update on 06GRC power costs.xls Chart 1_4 31 Regulatory Assets and Liabilities  7 06- Exhibit D 3" xfId="7045"/>
    <cellStyle name="_VC 6.15.06 update on 06GRC power costs.xls Chart 1_4 31 Regulatory Assets and Liabilities  7 06- Exhibit D_NIM Summary" xfId="2060"/>
    <cellStyle name="_VC 6.15.06 update on 06GRC power costs.xls Chart 1_4 31 Regulatory Assets and Liabilities  7 06- Exhibit D_NIM Summary 2" xfId="2061"/>
    <cellStyle name="_VC 6.15.06 update on 06GRC power costs.xls Chart 1_4 32 Regulatory Assets and Liabilities  7 06- Exhibit D" xfId="2062"/>
    <cellStyle name="_VC 6.15.06 update on 06GRC power costs.xls Chart 1_4 32 Regulatory Assets and Liabilities  7 06- Exhibit D 2" xfId="2063"/>
    <cellStyle name="_VC 6.15.06 update on 06GRC power costs.xls Chart 1_4 32 Regulatory Assets and Liabilities  7 06- Exhibit D 2 2" xfId="7046"/>
    <cellStyle name="_VC 6.15.06 update on 06GRC power costs.xls Chart 1_4 32 Regulatory Assets and Liabilities  7 06- Exhibit D 3" xfId="7047"/>
    <cellStyle name="_VC 6.15.06 update on 06GRC power costs.xls Chart 1_4 32 Regulatory Assets and Liabilities  7 06- Exhibit D_NIM Summary" xfId="2064"/>
    <cellStyle name="_VC 6.15.06 update on 06GRC power costs.xls Chart 1_4 32 Regulatory Assets and Liabilities  7 06- Exhibit D_NIM Summary 2" xfId="2065"/>
    <cellStyle name="_VC 6.15.06 update on 06GRC power costs.xls Chart 1_AURORA Total New" xfId="2066"/>
    <cellStyle name="_VC 6.15.06 update on 06GRC power costs.xls Chart 1_AURORA Total New 2" xfId="2067"/>
    <cellStyle name="_VC 6.15.06 update on 06GRC power costs.xls Chart 1_Book2" xfId="2068"/>
    <cellStyle name="_VC 6.15.06 update on 06GRC power costs.xls Chart 1_Book2 2" xfId="2069"/>
    <cellStyle name="_VC 6.15.06 update on 06GRC power costs.xls Chart 1_Book2 2 2" xfId="7048"/>
    <cellStyle name="_VC 6.15.06 update on 06GRC power costs.xls Chart 1_Book2 3" xfId="7049"/>
    <cellStyle name="_VC 6.15.06 update on 06GRC power costs.xls Chart 1_Book2_Adj Bench DR 3 for Initial Briefs (Electric)" xfId="2070"/>
    <cellStyle name="_VC 6.15.06 update on 06GRC power costs.xls Chart 1_Book2_Adj Bench DR 3 for Initial Briefs (Electric) 2" xfId="2071"/>
    <cellStyle name="_VC 6.15.06 update on 06GRC power costs.xls Chart 1_Book2_Adj Bench DR 3 for Initial Briefs (Electric) 2 2" xfId="7050"/>
    <cellStyle name="_VC 6.15.06 update on 06GRC power costs.xls Chart 1_Book2_Adj Bench DR 3 for Initial Briefs (Electric) 3" xfId="7051"/>
    <cellStyle name="_VC 6.15.06 update on 06GRC power costs.xls Chart 1_Book2_Electric Rev Req Model (2009 GRC) Rebuttal" xfId="2072"/>
    <cellStyle name="_VC 6.15.06 update on 06GRC power costs.xls Chart 1_Book2_Electric Rev Req Model (2009 GRC) Rebuttal 2" xfId="4193"/>
    <cellStyle name="_VC 6.15.06 update on 06GRC power costs.xls Chart 1_Book2_Electric Rev Req Model (2009 GRC) Rebuttal 2 2" xfId="7052"/>
    <cellStyle name="_VC 6.15.06 update on 06GRC power costs.xls Chart 1_Book2_Electric Rev Req Model (2009 GRC) Rebuttal 3" xfId="7053"/>
    <cellStyle name="_VC 6.15.06 update on 06GRC power costs.xls Chart 1_Book2_Electric Rev Req Model (2009 GRC) Rebuttal REmoval of New  WH Solar AdjustMI" xfId="2073"/>
    <cellStyle name="_VC 6.15.06 update on 06GRC power costs.xls Chart 1_Book2_Electric Rev Req Model (2009 GRC) Rebuttal REmoval of New  WH Solar AdjustMI 2" xfId="2074"/>
    <cellStyle name="_VC 6.15.06 update on 06GRC power costs.xls Chart 1_Book2_Electric Rev Req Model (2009 GRC) Rebuttal REmoval of New  WH Solar AdjustMI 2 2" xfId="7054"/>
    <cellStyle name="_VC 6.15.06 update on 06GRC power costs.xls Chart 1_Book2_Electric Rev Req Model (2009 GRC) Rebuttal REmoval of New  WH Solar AdjustMI 3" xfId="7055"/>
    <cellStyle name="_VC 6.15.06 update on 06GRC power costs.xls Chart 1_Book2_Electric Rev Req Model (2009 GRC) Revised 01-18-2010" xfId="2075"/>
    <cellStyle name="_VC 6.15.06 update on 06GRC power costs.xls Chart 1_Book2_Electric Rev Req Model (2009 GRC) Revised 01-18-2010 2" xfId="2076"/>
    <cellStyle name="_VC 6.15.06 update on 06GRC power costs.xls Chart 1_Book2_Electric Rev Req Model (2009 GRC) Revised 01-18-2010 2 2" xfId="7056"/>
    <cellStyle name="_VC 6.15.06 update on 06GRC power costs.xls Chart 1_Book2_Electric Rev Req Model (2009 GRC) Revised 01-18-2010 3" xfId="7057"/>
    <cellStyle name="_VC 6.15.06 update on 06GRC power costs.xls Chart 1_Book2_Final Order Electric EXHIBIT A-1" xfId="2077"/>
    <cellStyle name="_VC 6.15.06 update on 06GRC power costs.xls Chart 1_Book2_Final Order Electric EXHIBIT A-1 2" xfId="4194"/>
    <cellStyle name="_VC 6.15.06 update on 06GRC power costs.xls Chart 1_Book2_Final Order Electric EXHIBIT A-1 2 2" xfId="7058"/>
    <cellStyle name="_VC 6.15.06 update on 06GRC power costs.xls Chart 1_Book2_Final Order Electric EXHIBIT A-1 3" xfId="7059"/>
    <cellStyle name="_VC 6.15.06 update on 06GRC power costs.xls Chart 1_Book4" xfId="2078"/>
    <cellStyle name="_VC 6.15.06 update on 06GRC power costs.xls Chart 1_Book4 2" xfId="2079"/>
    <cellStyle name="_VC 6.15.06 update on 06GRC power costs.xls Chart 1_Book4 2 2" xfId="7060"/>
    <cellStyle name="_VC 6.15.06 update on 06GRC power costs.xls Chart 1_Book4 3" xfId="7061"/>
    <cellStyle name="_VC 6.15.06 update on 06GRC power costs.xls Chart 1_Book9" xfId="2080"/>
    <cellStyle name="_VC 6.15.06 update on 06GRC power costs.xls Chart 1_Book9 2" xfId="2081"/>
    <cellStyle name="_VC 6.15.06 update on 06GRC power costs.xls Chart 1_Book9 2 2" xfId="7062"/>
    <cellStyle name="_VC 6.15.06 update on 06GRC power costs.xls Chart 1_Book9 3" xfId="7063"/>
    <cellStyle name="_VC 6.15.06 update on 06GRC power costs.xls Chart 1_INPUTS" xfId="4195"/>
    <cellStyle name="_VC 6.15.06 update on 06GRC power costs.xls Chart 1_INPUTS 2" xfId="4196"/>
    <cellStyle name="_VC 6.15.06 update on 06GRC power costs.xls Chart 1_INPUTS 2 2" xfId="7064"/>
    <cellStyle name="_VC 6.15.06 update on 06GRC power costs.xls Chart 1_INPUTS 3" xfId="7065"/>
    <cellStyle name="_VC 6.15.06 update on 06GRC power costs.xls Chart 1_NIM Summary" xfId="2082"/>
    <cellStyle name="_VC 6.15.06 update on 06GRC power costs.xls Chart 1_NIM Summary 09GRC" xfId="2083"/>
    <cellStyle name="_VC 6.15.06 update on 06GRC power costs.xls Chart 1_NIM Summary 09GRC 2" xfId="2084"/>
    <cellStyle name="_VC 6.15.06 update on 06GRC power costs.xls Chart 1_NIM Summary 2" xfId="2085"/>
    <cellStyle name="_VC 6.15.06 update on 06GRC power costs.xls Chart 1_NIM Summary 3" xfId="2086"/>
    <cellStyle name="_VC 6.15.06 update on 06GRC power costs.xls Chart 1_NIM Summary 4" xfId="3400"/>
    <cellStyle name="_VC 6.15.06 update on 06GRC power costs.xls Chart 1_NIM Summary 5" xfId="3401"/>
    <cellStyle name="_VC 6.15.06 update on 06GRC power costs.xls Chart 1_NIM Summary 6" xfId="3402"/>
    <cellStyle name="_VC 6.15.06 update on 06GRC power costs.xls Chart 1_NIM Summary 7" xfId="3403"/>
    <cellStyle name="_VC 6.15.06 update on 06GRC power costs.xls Chart 1_NIM Summary 8" xfId="3404"/>
    <cellStyle name="_VC 6.15.06 update on 06GRC power costs.xls Chart 1_NIM Summary 9" xfId="3405"/>
    <cellStyle name="_VC 6.15.06 update on 06GRC power costs.xls Chart 1_PCA 9 -  Exhibit D April 2010 (3)" xfId="2087"/>
    <cellStyle name="_VC 6.15.06 update on 06GRC power costs.xls Chart 1_PCA 9 -  Exhibit D April 2010 (3) 2" xfId="2088"/>
    <cellStyle name="_VC 6.15.06 update on 06GRC power costs.xls Chart 1_Power Costs - Comparison bx Rbtl-Staff-Jt-PC" xfId="2089"/>
    <cellStyle name="_VC 6.15.06 update on 06GRC power costs.xls Chart 1_Power Costs - Comparison bx Rbtl-Staff-Jt-PC 2" xfId="2090"/>
    <cellStyle name="_VC 6.15.06 update on 06GRC power costs.xls Chart 1_Power Costs - Comparison bx Rbtl-Staff-Jt-PC 2 2" xfId="7066"/>
    <cellStyle name="_VC 6.15.06 update on 06GRC power costs.xls Chart 1_Power Costs - Comparison bx Rbtl-Staff-Jt-PC 3" xfId="7067"/>
    <cellStyle name="_VC 6.15.06 update on 06GRC power costs.xls Chart 1_Power Costs - Comparison bx Rbtl-Staff-Jt-PC_Adj Bench DR 3 for Initial Briefs (Electric)" xfId="2091"/>
    <cellStyle name="_VC 6.15.06 update on 06GRC power costs.xls Chart 1_Power Costs - Comparison bx Rbtl-Staff-Jt-PC_Adj Bench DR 3 for Initial Briefs (Electric) 2" xfId="2092"/>
    <cellStyle name="_VC 6.15.06 update on 06GRC power costs.xls Chart 1_Power Costs - Comparison bx Rbtl-Staff-Jt-PC_Adj Bench DR 3 for Initial Briefs (Electric) 2 2" xfId="7068"/>
    <cellStyle name="_VC 6.15.06 update on 06GRC power costs.xls Chart 1_Power Costs - Comparison bx Rbtl-Staff-Jt-PC_Adj Bench DR 3 for Initial Briefs (Electric) 3" xfId="7069"/>
    <cellStyle name="_VC 6.15.06 update on 06GRC power costs.xls Chart 1_Power Costs - Comparison bx Rbtl-Staff-Jt-PC_Electric Rev Req Model (2009 GRC) Rebuttal" xfId="2093"/>
    <cellStyle name="_VC 6.15.06 update on 06GRC power costs.xls Chart 1_Power Costs - Comparison bx Rbtl-Staff-Jt-PC_Electric Rev Req Model (2009 GRC) Rebuttal 2" xfId="4197"/>
    <cellStyle name="_VC 6.15.06 update on 06GRC power costs.xls Chart 1_Power Costs - Comparison bx Rbtl-Staff-Jt-PC_Electric Rev Req Model (2009 GRC) Rebuttal 2 2" xfId="7070"/>
    <cellStyle name="_VC 6.15.06 update on 06GRC power costs.xls Chart 1_Power Costs - Comparison bx Rbtl-Staff-Jt-PC_Electric Rev Req Model (2009 GRC) Rebuttal 3" xfId="7071"/>
    <cellStyle name="_VC 6.15.06 update on 06GRC power costs.xls Chart 1_Power Costs - Comparison bx Rbtl-Staff-Jt-PC_Electric Rev Req Model (2009 GRC) Rebuttal REmoval of New  WH Solar AdjustMI" xfId="2094"/>
    <cellStyle name="_VC 6.15.06 update on 06GRC power costs.xls Chart 1_Power Costs - Comparison bx Rbtl-Staff-Jt-PC_Electric Rev Req Model (2009 GRC) Rebuttal REmoval of New  WH Solar AdjustMI 2" xfId="2095"/>
    <cellStyle name="_VC 6.15.06 update on 06GRC power costs.xls Chart 1_Power Costs - Comparison bx Rbtl-Staff-Jt-PC_Electric Rev Req Model (2009 GRC) Rebuttal REmoval of New  WH Solar AdjustMI 2 2" xfId="7072"/>
    <cellStyle name="_VC 6.15.06 update on 06GRC power costs.xls Chart 1_Power Costs - Comparison bx Rbtl-Staff-Jt-PC_Electric Rev Req Model (2009 GRC) Rebuttal REmoval of New  WH Solar AdjustMI 3" xfId="7073"/>
    <cellStyle name="_VC 6.15.06 update on 06GRC power costs.xls Chart 1_Power Costs - Comparison bx Rbtl-Staff-Jt-PC_Electric Rev Req Model (2009 GRC) Revised 01-18-2010" xfId="2096"/>
    <cellStyle name="_VC 6.15.06 update on 06GRC power costs.xls Chart 1_Power Costs - Comparison bx Rbtl-Staff-Jt-PC_Electric Rev Req Model (2009 GRC) Revised 01-18-2010 2" xfId="2097"/>
    <cellStyle name="_VC 6.15.06 update on 06GRC power costs.xls Chart 1_Power Costs - Comparison bx Rbtl-Staff-Jt-PC_Electric Rev Req Model (2009 GRC) Revised 01-18-2010 2 2" xfId="7074"/>
    <cellStyle name="_VC 6.15.06 update on 06GRC power costs.xls Chart 1_Power Costs - Comparison bx Rbtl-Staff-Jt-PC_Electric Rev Req Model (2009 GRC) Revised 01-18-2010 3" xfId="7075"/>
    <cellStyle name="_VC 6.15.06 update on 06GRC power costs.xls Chart 1_Power Costs - Comparison bx Rbtl-Staff-Jt-PC_Final Order Electric EXHIBIT A-1" xfId="2098"/>
    <cellStyle name="_VC 6.15.06 update on 06GRC power costs.xls Chart 1_Power Costs - Comparison bx Rbtl-Staff-Jt-PC_Final Order Electric EXHIBIT A-1 2" xfId="4198"/>
    <cellStyle name="_VC 6.15.06 update on 06GRC power costs.xls Chart 1_Power Costs - Comparison bx Rbtl-Staff-Jt-PC_Final Order Electric EXHIBIT A-1 2 2" xfId="7076"/>
    <cellStyle name="_VC 6.15.06 update on 06GRC power costs.xls Chart 1_Power Costs - Comparison bx Rbtl-Staff-Jt-PC_Final Order Electric EXHIBIT A-1 3" xfId="7077"/>
    <cellStyle name="_VC 6.15.06 update on 06GRC power costs.xls Chart 1_Production Adj 4.37" xfId="4199"/>
    <cellStyle name="_VC 6.15.06 update on 06GRC power costs.xls Chart 1_Production Adj 4.37 2" xfId="4200"/>
    <cellStyle name="_VC 6.15.06 update on 06GRC power costs.xls Chart 1_Production Adj 4.37 2 2" xfId="7078"/>
    <cellStyle name="_VC 6.15.06 update on 06GRC power costs.xls Chart 1_Production Adj 4.37 3" xfId="7079"/>
    <cellStyle name="_VC 6.15.06 update on 06GRC power costs.xls Chart 1_Purchased Power Adj 4.03" xfId="4201"/>
    <cellStyle name="_VC 6.15.06 update on 06GRC power costs.xls Chart 1_Purchased Power Adj 4.03 2" xfId="4202"/>
    <cellStyle name="_VC 6.15.06 update on 06GRC power costs.xls Chart 1_Purchased Power Adj 4.03 2 2" xfId="7080"/>
    <cellStyle name="_VC 6.15.06 update on 06GRC power costs.xls Chart 1_Purchased Power Adj 4.03 3" xfId="7081"/>
    <cellStyle name="_VC 6.15.06 update on 06GRC power costs.xls Chart 1_Rebuttal Power Costs" xfId="2099"/>
    <cellStyle name="_VC 6.15.06 update on 06GRC power costs.xls Chart 1_Rebuttal Power Costs 2" xfId="2100"/>
    <cellStyle name="_VC 6.15.06 update on 06GRC power costs.xls Chart 1_Rebuttal Power Costs 2 2" xfId="7082"/>
    <cellStyle name="_VC 6.15.06 update on 06GRC power costs.xls Chart 1_Rebuttal Power Costs 3" xfId="7083"/>
    <cellStyle name="_VC 6.15.06 update on 06GRC power costs.xls Chart 1_Rebuttal Power Costs_Adj Bench DR 3 for Initial Briefs (Electric)" xfId="2101"/>
    <cellStyle name="_VC 6.15.06 update on 06GRC power costs.xls Chart 1_Rebuttal Power Costs_Adj Bench DR 3 for Initial Briefs (Electric) 2" xfId="2102"/>
    <cellStyle name="_VC 6.15.06 update on 06GRC power costs.xls Chart 1_Rebuttal Power Costs_Adj Bench DR 3 for Initial Briefs (Electric) 2 2" xfId="7084"/>
    <cellStyle name="_VC 6.15.06 update on 06GRC power costs.xls Chart 1_Rebuttal Power Costs_Adj Bench DR 3 for Initial Briefs (Electric) 3" xfId="7085"/>
    <cellStyle name="_VC 6.15.06 update on 06GRC power costs.xls Chart 1_Rebuttal Power Costs_Electric Rev Req Model (2009 GRC) Rebuttal" xfId="2103"/>
    <cellStyle name="_VC 6.15.06 update on 06GRC power costs.xls Chart 1_Rebuttal Power Costs_Electric Rev Req Model (2009 GRC) Rebuttal 2" xfId="4203"/>
    <cellStyle name="_VC 6.15.06 update on 06GRC power costs.xls Chart 1_Rebuttal Power Costs_Electric Rev Req Model (2009 GRC) Rebuttal 2 2" xfId="7086"/>
    <cellStyle name="_VC 6.15.06 update on 06GRC power costs.xls Chart 1_Rebuttal Power Costs_Electric Rev Req Model (2009 GRC) Rebuttal 3" xfId="7087"/>
    <cellStyle name="_VC 6.15.06 update on 06GRC power costs.xls Chart 1_Rebuttal Power Costs_Electric Rev Req Model (2009 GRC) Rebuttal REmoval of New  WH Solar AdjustMI" xfId="2104"/>
    <cellStyle name="_VC 6.15.06 update on 06GRC power costs.xls Chart 1_Rebuttal Power Costs_Electric Rev Req Model (2009 GRC) Rebuttal REmoval of New  WH Solar AdjustMI 2" xfId="2105"/>
    <cellStyle name="_VC 6.15.06 update on 06GRC power costs.xls Chart 1_Rebuttal Power Costs_Electric Rev Req Model (2009 GRC) Rebuttal REmoval of New  WH Solar AdjustMI 2 2" xfId="7088"/>
    <cellStyle name="_VC 6.15.06 update on 06GRC power costs.xls Chart 1_Rebuttal Power Costs_Electric Rev Req Model (2009 GRC) Rebuttal REmoval of New  WH Solar AdjustMI 3" xfId="7089"/>
    <cellStyle name="_VC 6.15.06 update on 06GRC power costs.xls Chart 1_Rebuttal Power Costs_Electric Rev Req Model (2009 GRC) Revised 01-18-2010" xfId="2106"/>
    <cellStyle name="_VC 6.15.06 update on 06GRC power costs.xls Chart 1_Rebuttal Power Costs_Electric Rev Req Model (2009 GRC) Revised 01-18-2010 2" xfId="2107"/>
    <cellStyle name="_VC 6.15.06 update on 06GRC power costs.xls Chart 1_Rebuttal Power Costs_Electric Rev Req Model (2009 GRC) Revised 01-18-2010 2 2" xfId="7090"/>
    <cellStyle name="_VC 6.15.06 update on 06GRC power costs.xls Chart 1_Rebuttal Power Costs_Electric Rev Req Model (2009 GRC) Revised 01-18-2010 3" xfId="7091"/>
    <cellStyle name="_VC 6.15.06 update on 06GRC power costs.xls Chart 1_Rebuttal Power Costs_Final Order Electric EXHIBIT A-1" xfId="2108"/>
    <cellStyle name="_VC 6.15.06 update on 06GRC power costs.xls Chart 1_Rebuttal Power Costs_Final Order Electric EXHIBIT A-1 2" xfId="4204"/>
    <cellStyle name="_VC 6.15.06 update on 06GRC power costs.xls Chart 1_Rebuttal Power Costs_Final Order Electric EXHIBIT A-1 2 2" xfId="7092"/>
    <cellStyle name="_VC 6.15.06 update on 06GRC power costs.xls Chart 1_Rebuttal Power Costs_Final Order Electric EXHIBIT A-1 3" xfId="7093"/>
    <cellStyle name="_VC 6.15.06 update on 06GRC power costs.xls Chart 1_ROR &amp; CONV FACTOR" xfId="4205"/>
    <cellStyle name="_VC 6.15.06 update on 06GRC power costs.xls Chart 1_ROR &amp; CONV FACTOR 2" xfId="4206"/>
    <cellStyle name="_VC 6.15.06 update on 06GRC power costs.xls Chart 1_ROR &amp; CONV FACTOR 2 2" xfId="7094"/>
    <cellStyle name="_VC 6.15.06 update on 06GRC power costs.xls Chart 1_ROR &amp; CONV FACTOR 3" xfId="7095"/>
    <cellStyle name="_VC 6.15.06 update on 06GRC power costs.xls Chart 1_ROR 5.02" xfId="4207"/>
    <cellStyle name="_VC 6.15.06 update on 06GRC power costs.xls Chart 1_ROR 5.02 2" xfId="4208"/>
    <cellStyle name="_VC 6.15.06 update on 06GRC power costs.xls Chart 1_ROR 5.02 2 2" xfId="7096"/>
    <cellStyle name="_VC 6.15.06 update on 06GRC power costs.xls Chart 1_ROR 5.02 3" xfId="7097"/>
    <cellStyle name="_VC 6.15.06 update on 06GRC power costs.xls Chart 1_Wind Integration 10GRC" xfId="2109"/>
    <cellStyle name="_VC 6.15.06 update on 06GRC power costs.xls Chart 1_Wind Integration 10GRC 2" xfId="2110"/>
    <cellStyle name="_VC 6.15.06 update on 06GRC power costs.xls Chart 2" xfId="2111"/>
    <cellStyle name="_VC 6.15.06 update on 06GRC power costs.xls Chart 2 2" xfId="2112"/>
    <cellStyle name="_VC 6.15.06 update on 06GRC power costs.xls Chart 2 2 2" xfId="2113"/>
    <cellStyle name="_VC 6.15.06 update on 06GRC power costs.xls Chart 2 2 2 2" xfId="7098"/>
    <cellStyle name="_VC 6.15.06 update on 06GRC power costs.xls Chart 2 2 3" xfId="7099"/>
    <cellStyle name="_VC 6.15.06 update on 06GRC power costs.xls Chart 2 3" xfId="2114"/>
    <cellStyle name="_VC 6.15.06 update on 06GRC power costs.xls Chart 2 3 2" xfId="4209"/>
    <cellStyle name="_VC 6.15.06 update on 06GRC power costs.xls Chart 2 3 2 2" xfId="7100"/>
    <cellStyle name="_VC 6.15.06 update on 06GRC power costs.xls Chart 2 3 3" xfId="4210"/>
    <cellStyle name="_VC 6.15.06 update on 06GRC power costs.xls Chart 2 3 3 2" xfId="7101"/>
    <cellStyle name="_VC 6.15.06 update on 06GRC power costs.xls Chart 2 3 4" xfId="4211"/>
    <cellStyle name="_VC 6.15.06 update on 06GRC power costs.xls Chart 2 3 4 2" xfId="7102"/>
    <cellStyle name="_VC 6.15.06 update on 06GRC power costs.xls Chart 2 4" xfId="2115"/>
    <cellStyle name="_VC 6.15.06 update on 06GRC power costs.xls Chart 2 4 2" xfId="3406"/>
    <cellStyle name="_VC 6.15.06 update on 06GRC power costs.xls Chart 2 5" xfId="7103"/>
    <cellStyle name="_VC 6.15.06 update on 06GRC power costs.xls Chart 2_04 07E Wild Horse Wind Expansion (C) (2)" xfId="2116"/>
    <cellStyle name="_VC 6.15.06 update on 06GRC power costs.xls Chart 2_04 07E Wild Horse Wind Expansion (C) (2) 2" xfId="2117"/>
    <cellStyle name="_VC 6.15.06 update on 06GRC power costs.xls Chart 2_04 07E Wild Horse Wind Expansion (C) (2) 2 2" xfId="7104"/>
    <cellStyle name="_VC 6.15.06 update on 06GRC power costs.xls Chart 2_04 07E Wild Horse Wind Expansion (C) (2) 3" xfId="7105"/>
    <cellStyle name="_VC 6.15.06 update on 06GRC power costs.xls Chart 2_04 07E Wild Horse Wind Expansion (C) (2)_Adj Bench DR 3 for Initial Briefs (Electric)" xfId="2118"/>
    <cellStyle name="_VC 6.15.06 update on 06GRC power costs.xls Chart 2_04 07E Wild Horse Wind Expansion (C) (2)_Adj Bench DR 3 for Initial Briefs (Electric) 2" xfId="2119"/>
    <cellStyle name="_VC 6.15.06 update on 06GRC power costs.xls Chart 2_04 07E Wild Horse Wind Expansion (C) (2)_Adj Bench DR 3 for Initial Briefs (Electric) 2 2" xfId="7106"/>
    <cellStyle name="_VC 6.15.06 update on 06GRC power costs.xls Chart 2_04 07E Wild Horse Wind Expansion (C) (2)_Adj Bench DR 3 for Initial Briefs (Electric) 3" xfId="7107"/>
    <cellStyle name="_VC 6.15.06 update on 06GRC power costs.xls Chart 2_04 07E Wild Horse Wind Expansion (C) (2)_Electric Rev Req Model (2009 GRC) " xfId="2120"/>
    <cellStyle name="_VC 6.15.06 update on 06GRC power costs.xls Chart 2_04 07E Wild Horse Wind Expansion (C) (2)_Electric Rev Req Model (2009 GRC)  2" xfId="2121"/>
    <cellStyle name="_VC 6.15.06 update on 06GRC power costs.xls Chart 2_04 07E Wild Horse Wind Expansion (C) (2)_Electric Rev Req Model (2009 GRC)  2 2" xfId="7108"/>
    <cellStyle name="_VC 6.15.06 update on 06GRC power costs.xls Chart 2_04 07E Wild Horse Wind Expansion (C) (2)_Electric Rev Req Model (2009 GRC)  3" xfId="7109"/>
    <cellStyle name="_VC 6.15.06 update on 06GRC power costs.xls Chart 2_04 07E Wild Horse Wind Expansion (C) (2)_Electric Rev Req Model (2009 GRC) Rebuttal" xfId="2122"/>
    <cellStyle name="_VC 6.15.06 update on 06GRC power costs.xls Chart 2_04 07E Wild Horse Wind Expansion (C) (2)_Electric Rev Req Model (2009 GRC) Rebuttal 2" xfId="4212"/>
    <cellStyle name="_VC 6.15.06 update on 06GRC power costs.xls Chart 2_04 07E Wild Horse Wind Expansion (C) (2)_Electric Rev Req Model (2009 GRC) Rebuttal 2 2" xfId="7110"/>
    <cellStyle name="_VC 6.15.06 update on 06GRC power costs.xls Chart 2_04 07E Wild Horse Wind Expansion (C) (2)_Electric Rev Req Model (2009 GRC) Rebuttal 3" xfId="7111"/>
    <cellStyle name="_VC 6.15.06 update on 06GRC power costs.xls Chart 2_04 07E Wild Horse Wind Expansion (C) (2)_Electric Rev Req Model (2009 GRC) Rebuttal REmoval of New  WH Solar AdjustMI" xfId="2123"/>
    <cellStyle name="_VC 6.15.06 update on 06GRC power costs.xls Chart 2_04 07E Wild Horse Wind Expansion (C) (2)_Electric Rev Req Model (2009 GRC) Rebuttal REmoval of New  WH Solar AdjustMI 2" xfId="2124"/>
    <cellStyle name="_VC 6.15.06 update on 06GRC power costs.xls Chart 2_04 07E Wild Horse Wind Expansion (C) (2)_Electric Rev Req Model (2009 GRC) Rebuttal REmoval of New  WH Solar AdjustMI 2 2" xfId="7112"/>
    <cellStyle name="_VC 6.15.06 update on 06GRC power costs.xls Chart 2_04 07E Wild Horse Wind Expansion (C) (2)_Electric Rev Req Model (2009 GRC) Rebuttal REmoval of New  WH Solar AdjustMI 3" xfId="7113"/>
    <cellStyle name="_VC 6.15.06 update on 06GRC power costs.xls Chart 2_04 07E Wild Horse Wind Expansion (C) (2)_Electric Rev Req Model (2009 GRC) Revised 01-18-2010" xfId="2125"/>
    <cellStyle name="_VC 6.15.06 update on 06GRC power costs.xls Chart 2_04 07E Wild Horse Wind Expansion (C) (2)_Electric Rev Req Model (2009 GRC) Revised 01-18-2010 2" xfId="2126"/>
    <cellStyle name="_VC 6.15.06 update on 06GRC power costs.xls Chart 2_04 07E Wild Horse Wind Expansion (C) (2)_Electric Rev Req Model (2009 GRC) Revised 01-18-2010 2 2" xfId="7114"/>
    <cellStyle name="_VC 6.15.06 update on 06GRC power costs.xls Chart 2_04 07E Wild Horse Wind Expansion (C) (2)_Electric Rev Req Model (2009 GRC) Revised 01-18-2010 3" xfId="7115"/>
    <cellStyle name="_VC 6.15.06 update on 06GRC power costs.xls Chart 2_04 07E Wild Horse Wind Expansion (C) (2)_Final Order Electric EXHIBIT A-1" xfId="2127"/>
    <cellStyle name="_VC 6.15.06 update on 06GRC power costs.xls Chart 2_04 07E Wild Horse Wind Expansion (C) (2)_Final Order Electric EXHIBIT A-1 2" xfId="4213"/>
    <cellStyle name="_VC 6.15.06 update on 06GRC power costs.xls Chart 2_04 07E Wild Horse Wind Expansion (C) (2)_Final Order Electric EXHIBIT A-1 2 2" xfId="7116"/>
    <cellStyle name="_VC 6.15.06 update on 06GRC power costs.xls Chart 2_04 07E Wild Horse Wind Expansion (C) (2)_Final Order Electric EXHIBIT A-1 3" xfId="7117"/>
    <cellStyle name="_VC 6.15.06 update on 06GRC power costs.xls Chart 2_04 07E Wild Horse Wind Expansion (C) (2)_TENASKA REGULATORY ASSET" xfId="2128"/>
    <cellStyle name="_VC 6.15.06 update on 06GRC power costs.xls Chart 2_04 07E Wild Horse Wind Expansion (C) (2)_TENASKA REGULATORY ASSET 2" xfId="4214"/>
    <cellStyle name="_VC 6.15.06 update on 06GRC power costs.xls Chart 2_04 07E Wild Horse Wind Expansion (C) (2)_TENASKA REGULATORY ASSET 2 2" xfId="7118"/>
    <cellStyle name="_VC 6.15.06 update on 06GRC power costs.xls Chart 2_04 07E Wild Horse Wind Expansion (C) (2)_TENASKA REGULATORY ASSET 3" xfId="7119"/>
    <cellStyle name="_VC 6.15.06 update on 06GRC power costs.xls Chart 2_16.37E Wild Horse Expansion DeferralRevwrkingfile SF" xfId="2129"/>
    <cellStyle name="_VC 6.15.06 update on 06GRC power costs.xls Chart 2_16.37E Wild Horse Expansion DeferralRevwrkingfile SF 2" xfId="2130"/>
    <cellStyle name="_VC 6.15.06 update on 06GRC power costs.xls Chart 2_16.37E Wild Horse Expansion DeferralRevwrkingfile SF 2 2" xfId="7120"/>
    <cellStyle name="_VC 6.15.06 update on 06GRC power costs.xls Chart 2_16.37E Wild Horse Expansion DeferralRevwrkingfile SF 3" xfId="7121"/>
    <cellStyle name="_VC 6.15.06 update on 06GRC power costs.xls Chart 2_2009 GRC Compl Filing - Exhibit D" xfId="2131"/>
    <cellStyle name="_VC 6.15.06 update on 06GRC power costs.xls Chart 2_2009 GRC Compl Filing - Exhibit D 2" xfId="2132"/>
    <cellStyle name="_VC 6.15.06 update on 06GRC power costs.xls Chart 2_4 31 Regulatory Assets and Liabilities  7 06- Exhibit D" xfId="2133"/>
    <cellStyle name="_VC 6.15.06 update on 06GRC power costs.xls Chart 2_4 31 Regulatory Assets and Liabilities  7 06- Exhibit D 2" xfId="2134"/>
    <cellStyle name="_VC 6.15.06 update on 06GRC power costs.xls Chart 2_4 31 Regulatory Assets and Liabilities  7 06- Exhibit D 2 2" xfId="7122"/>
    <cellStyle name="_VC 6.15.06 update on 06GRC power costs.xls Chart 2_4 31 Regulatory Assets and Liabilities  7 06- Exhibit D 3" xfId="7123"/>
    <cellStyle name="_VC 6.15.06 update on 06GRC power costs.xls Chart 2_4 31 Regulatory Assets and Liabilities  7 06- Exhibit D_NIM Summary" xfId="2135"/>
    <cellStyle name="_VC 6.15.06 update on 06GRC power costs.xls Chart 2_4 31 Regulatory Assets and Liabilities  7 06- Exhibit D_NIM Summary 2" xfId="2136"/>
    <cellStyle name="_VC 6.15.06 update on 06GRC power costs.xls Chart 2_4 32 Regulatory Assets and Liabilities  7 06- Exhibit D" xfId="2137"/>
    <cellStyle name="_VC 6.15.06 update on 06GRC power costs.xls Chart 2_4 32 Regulatory Assets and Liabilities  7 06- Exhibit D 2" xfId="2138"/>
    <cellStyle name="_VC 6.15.06 update on 06GRC power costs.xls Chart 2_4 32 Regulatory Assets and Liabilities  7 06- Exhibit D 2 2" xfId="7124"/>
    <cellStyle name="_VC 6.15.06 update on 06GRC power costs.xls Chart 2_4 32 Regulatory Assets and Liabilities  7 06- Exhibit D 3" xfId="7125"/>
    <cellStyle name="_VC 6.15.06 update on 06GRC power costs.xls Chart 2_4 32 Regulatory Assets and Liabilities  7 06- Exhibit D_NIM Summary" xfId="2139"/>
    <cellStyle name="_VC 6.15.06 update on 06GRC power costs.xls Chart 2_4 32 Regulatory Assets and Liabilities  7 06- Exhibit D_NIM Summary 2" xfId="2140"/>
    <cellStyle name="_VC 6.15.06 update on 06GRC power costs.xls Chart 2_AURORA Total New" xfId="2141"/>
    <cellStyle name="_VC 6.15.06 update on 06GRC power costs.xls Chart 2_AURORA Total New 2" xfId="2142"/>
    <cellStyle name="_VC 6.15.06 update on 06GRC power costs.xls Chart 2_Book2" xfId="2143"/>
    <cellStyle name="_VC 6.15.06 update on 06GRC power costs.xls Chart 2_Book2 2" xfId="2144"/>
    <cellStyle name="_VC 6.15.06 update on 06GRC power costs.xls Chart 2_Book2 2 2" xfId="7126"/>
    <cellStyle name="_VC 6.15.06 update on 06GRC power costs.xls Chart 2_Book2 3" xfId="7127"/>
    <cellStyle name="_VC 6.15.06 update on 06GRC power costs.xls Chart 2_Book2_Adj Bench DR 3 for Initial Briefs (Electric)" xfId="2145"/>
    <cellStyle name="_VC 6.15.06 update on 06GRC power costs.xls Chart 2_Book2_Adj Bench DR 3 for Initial Briefs (Electric) 2" xfId="2146"/>
    <cellStyle name="_VC 6.15.06 update on 06GRC power costs.xls Chart 2_Book2_Adj Bench DR 3 for Initial Briefs (Electric) 2 2" xfId="7128"/>
    <cellStyle name="_VC 6.15.06 update on 06GRC power costs.xls Chart 2_Book2_Adj Bench DR 3 for Initial Briefs (Electric) 3" xfId="7129"/>
    <cellStyle name="_VC 6.15.06 update on 06GRC power costs.xls Chart 2_Book2_Electric Rev Req Model (2009 GRC) Rebuttal" xfId="2147"/>
    <cellStyle name="_VC 6.15.06 update on 06GRC power costs.xls Chart 2_Book2_Electric Rev Req Model (2009 GRC) Rebuttal 2" xfId="4215"/>
    <cellStyle name="_VC 6.15.06 update on 06GRC power costs.xls Chart 2_Book2_Electric Rev Req Model (2009 GRC) Rebuttal 2 2" xfId="7130"/>
    <cellStyle name="_VC 6.15.06 update on 06GRC power costs.xls Chart 2_Book2_Electric Rev Req Model (2009 GRC) Rebuttal 3" xfId="7131"/>
    <cellStyle name="_VC 6.15.06 update on 06GRC power costs.xls Chart 2_Book2_Electric Rev Req Model (2009 GRC) Rebuttal REmoval of New  WH Solar AdjustMI" xfId="2148"/>
    <cellStyle name="_VC 6.15.06 update on 06GRC power costs.xls Chart 2_Book2_Electric Rev Req Model (2009 GRC) Rebuttal REmoval of New  WH Solar AdjustMI 2" xfId="2149"/>
    <cellStyle name="_VC 6.15.06 update on 06GRC power costs.xls Chart 2_Book2_Electric Rev Req Model (2009 GRC) Rebuttal REmoval of New  WH Solar AdjustMI 2 2" xfId="7132"/>
    <cellStyle name="_VC 6.15.06 update on 06GRC power costs.xls Chart 2_Book2_Electric Rev Req Model (2009 GRC) Rebuttal REmoval of New  WH Solar AdjustMI 3" xfId="7133"/>
    <cellStyle name="_VC 6.15.06 update on 06GRC power costs.xls Chart 2_Book2_Electric Rev Req Model (2009 GRC) Revised 01-18-2010" xfId="2150"/>
    <cellStyle name="_VC 6.15.06 update on 06GRC power costs.xls Chart 2_Book2_Electric Rev Req Model (2009 GRC) Revised 01-18-2010 2" xfId="2151"/>
    <cellStyle name="_VC 6.15.06 update on 06GRC power costs.xls Chart 2_Book2_Electric Rev Req Model (2009 GRC) Revised 01-18-2010 2 2" xfId="7134"/>
    <cellStyle name="_VC 6.15.06 update on 06GRC power costs.xls Chart 2_Book2_Electric Rev Req Model (2009 GRC) Revised 01-18-2010 3" xfId="7135"/>
    <cellStyle name="_VC 6.15.06 update on 06GRC power costs.xls Chart 2_Book2_Final Order Electric EXHIBIT A-1" xfId="2152"/>
    <cellStyle name="_VC 6.15.06 update on 06GRC power costs.xls Chart 2_Book2_Final Order Electric EXHIBIT A-1 2" xfId="4216"/>
    <cellStyle name="_VC 6.15.06 update on 06GRC power costs.xls Chart 2_Book2_Final Order Electric EXHIBIT A-1 2 2" xfId="7136"/>
    <cellStyle name="_VC 6.15.06 update on 06GRC power costs.xls Chart 2_Book2_Final Order Electric EXHIBIT A-1 3" xfId="7137"/>
    <cellStyle name="_VC 6.15.06 update on 06GRC power costs.xls Chart 2_Book4" xfId="2153"/>
    <cellStyle name="_VC 6.15.06 update on 06GRC power costs.xls Chart 2_Book4 2" xfId="2154"/>
    <cellStyle name="_VC 6.15.06 update on 06GRC power costs.xls Chart 2_Book4 2 2" xfId="7138"/>
    <cellStyle name="_VC 6.15.06 update on 06GRC power costs.xls Chart 2_Book4 3" xfId="7139"/>
    <cellStyle name="_VC 6.15.06 update on 06GRC power costs.xls Chart 2_Book9" xfId="2155"/>
    <cellStyle name="_VC 6.15.06 update on 06GRC power costs.xls Chart 2_Book9 2" xfId="2156"/>
    <cellStyle name="_VC 6.15.06 update on 06GRC power costs.xls Chart 2_Book9 2 2" xfId="7140"/>
    <cellStyle name="_VC 6.15.06 update on 06GRC power costs.xls Chart 2_Book9 3" xfId="7141"/>
    <cellStyle name="_VC 6.15.06 update on 06GRC power costs.xls Chart 2_INPUTS" xfId="4217"/>
    <cellStyle name="_VC 6.15.06 update on 06GRC power costs.xls Chart 2_INPUTS 2" xfId="4218"/>
    <cellStyle name="_VC 6.15.06 update on 06GRC power costs.xls Chart 2_INPUTS 2 2" xfId="7142"/>
    <cellStyle name="_VC 6.15.06 update on 06GRC power costs.xls Chart 2_INPUTS 3" xfId="7143"/>
    <cellStyle name="_VC 6.15.06 update on 06GRC power costs.xls Chart 2_NIM Summary" xfId="2157"/>
    <cellStyle name="_VC 6.15.06 update on 06GRC power costs.xls Chart 2_NIM Summary 09GRC" xfId="2158"/>
    <cellStyle name="_VC 6.15.06 update on 06GRC power costs.xls Chart 2_NIM Summary 09GRC 2" xfId="2159"/>
    <cellStyle name="_VC 6.15.06 update on 06GRC power costs.xls Chart 2_NIM Summary 2" xfId="2160"/>
    <cellStyle name="_VC 6.15.06 update on 06GRC power costs.xls Chart 2_NIM Summary 3" xfId="2161"/>
    <cellStyle name="_VC 6.15.06 update on 06GRC power costs.xls Chart 2_NIM Summary 4" xfId="3407"/>
    <cellStyle name="_VC 6.15.06 update on 06GRC power costs.xls Chart 2_NIM Summary 5" xfId="3408"/>
    <cellStyle name="_VC 6.15.06 update on 06GRC power costs.xls Chart 2_NIM Summary 6" xfId="3409"/>
    <cellStyle name="_VC 6.15.06 update on 06GRC power costs.xls Chart 2_NIM Summary 7" xfId="3410"/>
    <cellStyle name="_VC 6.15.06 update on 06GRC power costs.xls Chart 2_NIM Summary 8" xfId="3411"/>
    <cellStyle name="_VC 6.15.06 update on 06GRC power costs.xls Chart 2_NIM Summary 9" xfId="3412"/>
    <cellStyle name="_VC 6.15.06 update on 06GRC power costs.xls Chart 2_PCA 9 -  Exhibit D April 2010 (3)" xfId="2162"/>
    <cellStyle name="_VC 6.15.06 update on 06GRC power costs.xls Chart 2_PCA 9 -  Exhibit D April 2010 (3) 2" xfId="2163"/>
    <cellStyle name="_VC 6.15.06 update on 06GRC power costs.xls Chart 2_Power Costs - Comparison bx Rbtl-Staff-Jt-PC" xfId="2164"/>
    <cellStyle name="_VC 6.15.06 update on 06GRC power costs.xls Chart 2_Power Costs - Comparison bx Rbtl-Staff-Jt-PC 2" xfId="2165"/>
    <cellStyle name="_VC 6.15.06 update on 06GRC power costs.xls Chart 2_Power Costs - Comparison bx Rbtl-Staff-Jt-PC 2 2" xfId="7144"/>
    <cellStyle name="_VC 6.15.06 update on 06GRC power costs.xls Chart 2_Power Costs - Comparison bx Rbtl-Staff-Jt-PC 3" xfId="7145"/>
    <cellStyle name="_VC 6.15.06 update on 06GRC power costs.xls Chart 2_Power Costs - Comparison bx Rbtl-Staff-Jt-PC_Adj Bench DR 3 for Initial Briefs (Electric)" xfId="2166"/>
    <cellStyle name="_VC 6.15.06 update on 06GRC power costs.xls Chart 2_Power Costs - Comparison bx Rbtl-Staff-Jt-PC_Adj Bench DR 3 for Initial Briefs (Electric) 2" xfId="2167"/>
    <cellStyle name="_VC 6.15.06 update on 06GRC power costs.xls Chart 2_Power Costs - Comparison bx Rbtl-Staff-Jt-PC_Adj Bench DR 3 for Initial Briefs (Electric) 2 2" xfId="7146"/>
    <cellStyle name="_VC 6.15.06 update on 06GRC power costs.xls Chart 2_Power Costs - Comparison bx Rbtl-Staff-Jt-PC_Adj Bench DR 3 for Initial Briefs (Electric) 3" xfId="7147"/>
    <cellStyle name="_VC 6.15.06 update on 06GRC power costs.xls Chart 2_Power Costs - Comparison bx Rbtl-Staff-Jt-PC_Electric Rev Req Model (2009 GRC) Rebuttal" xfId="2168"/>
    <cellStyle name="_VC 6.15.06 update on 06GRC power costs.xls Chart 2_Power Costs - Comparison bx Rbtl-Staff-Jt-PC_Electric Rev Req Model (2009 GRC) Rebuttal 2" xfId="4219"/>
    <cellStyle name="_VC 6.15.06 update on 06GRC power costs.xls Chart 2_Power Costs - Comparison bx Rbtl-Staff-Jt-PC_Electric Rev Req Model (2009 GRC) Rebuttal 2 2" xfId="7148"/>
    <cellStyle name="_VC 6.15.06 update on 06GRC power costs.xls Chart 2_Power Costs - Comparison bx Rbtl-Staff-Jt-PC_Electric Rev Req Model (2009 GRC) Rebuttal 3" xfId="7149"/>
    <cellStyle name="_VC 6.15.06 update on 06GRC power costs.xls Chart 2_Power Costs - Comparison bx Rbtl-Staff-Jt-PC_Electric Rev Req Model (2009 GRC) Rebuttal REmoval of New  WH Solar AdjustMI" xfId="2169"/>
    <cellStyle name="_VC 6.15.06 update on 06GRC power costs.xls Chart 2_Power Costs - Comparison bx Rbtl-Staff-Jt-PC_Electric Rev Req Model (2009 GRC) Rebuttal REmoval of New  WH Solar AdjustMI 2" xfId="2170"/>
    <cellStyle name="_VC 6.15.06 update on 06GRC power costs.xls Chart 2_Power Costs - Comparison bx Rbtl-Staff-Jt-PC_Electric Rev Req Model (2009 GRC) Rebuttal REmoval of New  WH Solar AdjustMI 2 2" xfId="7150"/>
    <cellStyle name="_VC 6.15.06 update on 06GRC power costs.xls Chart 2_Power Costs - Comparison bx Rbtl-Staff-Jt-PC_Electric Rev Req Model (2009 GRC) Rebuttal REmoval of New  WH Solar AdjustMI 3" xfId="7151"/>
    <cellStyle name="_VC 6.15.06 update on 06GRC power costs.xls Chart 2_Power Costs - Comparison bx Rbtl-Staff-Jt-PC_Electric Rev Req Model (2009 GRC) Revised 01-18-2010" xfId="2171"/>
    <cellStyle name="_VC 6.15.06 update on 06GRC power costs.xls Chart 2_Power Costs - Comparison bx Rbtl-Staff-Jt-PC_Electric Rev Req Model (2009 GRC) Revised 01-18-2010 2" xfId="2172"/>
    <cellStyle name="_VC 6.15.06 update on 06GRC power costs.xls Chart 2_Power Costs - Comparison bx Rbtl-Staff-Jt-PC_Electric Rev Req Model (2009 GRC) Revised 01-18-2010 2 2" xfId="7152"/>
    <cellStyle name="_VC 6.15.06 update on 06GRC power costs.xls Chart 2_Power Costs - Comparison bx Rbtl-Staff-Jt-PC_Electric Rev Req Model (2009 GRC) Revised 01-18-2010 3" xfId="7153"/>
    <cellStyle name="_VC 6.15.06 update on 06GRC power costs.xls Chart 2_Power Costs - Comparison bx Rbtl-Staff-Jt-PC_Final Order Electric EXHIBIT A-1" xfId="2173"/>
    <cellStyle name="_VC 6.15.06 update on 06GRC power costs.xls Chart 2_Power Costs - Comparison bx Rbtl-Staff-Jt-PC_Final Order Electric EXHIBIT A-1 2" xfId="4220"/>
    <cellStyle name="_VC 6.15.06 update on 06GRC power costs.xls Chart 2_Power Costs - Comparison bx Rbtl-Staff-Jt-PC_Final Order Electric EXHIBIT A-1 2 2" xfId="7154"/>
    <cellStyle name="_VC 6.15.06 update on 06GRC power costs.xls Chart 2_Power Costs - Comparison bx Rbtl-Staff-Jt-PC_Final Order Electric EXHIBIT A-1 3" xfId="7155"/>
    <cellStyle name="_VC 6.15.06 update on 06GRC power costs.xls Chart 2_Production Adj 4.37" xfId="4221"/>
    <cellStyle name="_VC 6.15.06 update on 06GRC power costs.xls Chart 2_Production Adj 4.37 2" xfId="4222"/>
    <cellStyle name="_VC 6.15.06 update on 06GRC power costs.xls Chart 2_Production Adj 4.37 2 2" xfId="7156"/>
    <cellStyle name="_VC 6.15.06 update on 06GRC power costs.xls Chart 2_Production Adj 4.37 3" xfId="7157"/>
    <cellStyle name="_VC 6.15.06 update on 06GRC power costs.xls Chart 2_Purchased Power Adj 4.03" xfId="4223"/>
    <cellStyle name="_VC 6.15.06 update on 06GRC power costs.xls Chart 2_Purchased Power Adj 4.03 2" xfId="4224"/>
    <cellStyle name="_VC 6.15.06 update on 06GRC power costs.xls Chart 2_Purchased Power Adj 4.03 2 2" xfId="7158"/>
    <cellStyle name="_VC 6.15.06 update on 06GRC power costs.xls Chart 2_Purchased Power Adj 4.03 3" xfId="7159"/>
    <cellStyle name="_VC 6.15.06 update on 06GRC power costs.xls Chart 2_Rebuttal Power Costs" xfId="2174"/>
    <cellStyle name="_VC 6.15.06 update on 06GRC power costs.xls Chart 2_Rebuttal Power Costs 2" xfId="2175"/>
    <cellStyle name="_VC 6.15.06 update on 06GRC power costs.xls Chart 2_Rebuttal Power Costs 2 2" xfId="7160"/>
    <cellStyle name="_VC 6.15.06 update on 06GRC power costs.xls Chart 2_Rebuttal Power Costs 3" xfId="7161"/>
    <cellStyle name="_VC 6.15.06 update on 06GRC power costs.xls Chart 2_Rebuttal Power Costs_Adj Bench DR 3 for Initial Briefs (Electric)" xfId="2176"/>
    <cellStyle name="_VC 6.15.06 update on 06GRC power costs.xls Chart 2_Rebuttal Power Costs_Adj Bench DR 3 for Initial Briefs (Electric) 2" xfId="2177"/>
    <cellStyle name="_VC 6.15.06 update on 06GRC power costs.xls Chart 2_Rebuttal Power Costs_Adj Bench DR 3 for Initial Briefs (Electric) 2 2" xfId="7162"/>
    <cellStyle name="_VC 6.15.06 update on 06GRC power costs.xls Chart 2_Rebuttal Power Costs_Adj Bench DR 3 for Initial Briefs (Electric) 3" xfId="7163"/>
    <cellStyle name="_VC 6.15.06 update on 06GRC power costs.xls Chart 2_Rebuttal Power Costs_Electric Rev Req Model (2009 GRC) Rebuttal" xfId="2178"/>
    <cellStyle name="_VC 6.15.06 update on 06GRC power costs.xls Chart 2_Rebuttal Power Costs_Electric Rev Req Model (2009 GRC) Rebuttal 2" xfId="4225"/>
    <cellStyle name="_VC 6.15.06 update on 06GRC power costs.xls Chart 2_Rebuttal Power Costs_Electric Rev Req Model (2009 GRC) Rebuttal 2 2" xfId="7164"/>
    <cellStyle name="_VC 6.15.06 update on 06GRC power costs.xls Chart 2_Rebuttal Power Costs_Electric Rev Req Model (2009 GRC) Rebuttal 3" xfId="7165"/>
    <cellStyle name="_VC 6.15.06 update on 06GRC power costs.xls Chart 2_Rebuttal Power Costs_Electric Rev Req Model (2009 GRC) Rebuttal REmoval of New  WH Solar AdjustMI" xfId="2179"/>
    <cellStyle name="_VC 6.15.06 update on 06GRC power costs.xls Chart 2_Rebuttal Power Costs_Electric Rev Req Model (2009 GRC) Rebuttal REmoval of New  WH Solar AdjustMI 2" xfId="2180"/>
    <cellStyle name="_VC 6.15.06 update on 06GRC power costs.xls Chart 2_Rebuttal Power Costs_Electric Rev Req Model (2009 GRC) Rebuttal REmoval of New  WH Solar AdjustMI 2 2" xfId="7166"/>
    <cellStyle name="_VC 6.15.06 update on 06GRC power costs.xls Chart 2_Rebuttal Power Costs_Electric Rev Req Model (2009 GRC) Rebuttal REmoval of New  WH Solar AdjustMI 3" xfId="7167"/>
    <cellStyle name="_VC 6.15.06 update on 06GRC power costs.xls Chart 2_Rebuttal Power Costs_Electric Rev Req Model (2009 GRC) Revised 01-18-2010" xfId="2181"/>
    <cellStyle name="_VC 6.15.06 update on 06GRC power costs.xls Chart 2_Rebuttal Power Costs_Electric Rev Req Model (2009 GRC) Revised 01-18-2010 2" xfId="2182"/>
    <cellStyle name="_VC 6.15.06 update on 06GRC power costs.xls Chart 2_Rebuttal Power Costs_Electric Rev Req Model (2009 GRC) Revised 01-18-2010 2 2" xfId="7168"/>
    <cellStyle name="_VC 6.15.06 update on 06GRC power costs.xls Chart 2_Rebuttal Power Costs_Electric Rev Req Model (2009 GRC) Revised 01-18-2010 3" xfId="7169"/>
    <cellStyle name="_VC 6.15.06 update on 06GRC power costs.xls Chart 2_Rebuttal Power Costs_Final Order Electric EXHIBIT A-1" xfId="2183"/>
    <cellStyle name="_VC 6.15.06 update on 06GRC power costs.xls Chart 2_Rebuttal Power Costs_Final Order Electric EXHIBIT A-1 2" xfId="4226"/>
    <cellStyle name="_VC 6.15.06 update on 06GRC power costs.xls Chart 2_Rebuttal Power Costs_Final Order Electric EXHIBIT A-1 2 2" xfId="7170"/>
    <cellStyle name="_VC 6.15.06 update on 06GRC power costs.xls Chart 2_Rebuttal Power Costs_Final Order Electric EXHIBIT A-1 3" xfId="7171"/>
    <cellStyle name="_VC 6.15.06 update on 06GRC power costs.xls Chart 2_ROR &amp; CONV FACTOR" xfId="4227"/>
    <cellStyle name="_VC 6.15.06 update on 06GRC power costs.xls Chart 2_ROR &amp; CONV FACTOR 2" xfId="4228"/>
    <cellStyle name="_VC 6.15.06 update on 06GRC power costs.xls Chart 2_ROR &amp; CONV FACTOR 2 2" xfId="7172"/>
    <cellStyle name="_VC 6.15.06 update on 06GRC power costs.xls Chart 2_ROR &amp; CONV FACTOR 3" xfId="7173"/>
    <cellStyle name="_VC 6.15.06 update on 06GRC power costs.xls Chart 2_ROR 5.02" xfId="4229"/>
    <cellStyle name="_VC 6.15.06 update on 06GRC power costs.xls Chart 2_ROR 5.02 2" xfId="4230"/>
    <cellStyle name="_VC 6.15.06 update on 06GRC power costs.xls Chart 2_ROR 5.02 2 2" xfId="7174"/>
    <cellStyle name="_VC 6.15.06 update on 06GRC power costs.xls Chart 2_ROR 5.02 3" xfId="7175"/>
    <cellStyle name="_VC 6.15.06 update on 06GRC power costs.xls Chart 2_Wind Integration 10GRC" xfId="2184"/>
    <cellStyle name="_VC 6.15.06 update on 06GRC power costs.xls Chart 2_Wind Integration 10GRC 2" xfId="2185"/>
    <cellStyle name="_VC 6.15.06 update on 06GRC power costs.xls Chart 3" xfId="2186"/>
    <cellStyle name="_VC 6.15.06 update on 06GRC power costs.xls Chart 3 2" xfId="2187"/>
    <cellStyle name="_VC 6.15.06 update on 06GRC power costs.xls Chart 3 2 2" xfId="2188"/>
    <cellStyle name="_VC 6.15.06 update on 06GRC power costs.xls Chart 3 2 2 2" xfId="7176"/>
    <cellStyle name="_VC 6.15.06 update on 06GRC power costs.xls Chart 3 2 3" xfId="7177"/>
    <cellStyle name="_VC 6.15.06 update on 06GRC power costs.xls Chart 3 3" xfId="2189"/>
    <cellStyle name="_VC 6.15.06 update on 06GRC power costs.xls Chart 3 3 2" xfId="4231"/>
    <cellStyle name="_VC 6.15.06 update on 06GRC power costs.xls Chart 3 3 2 2" xfId="7178"/>
    <cellStyle name="_VC 6.15.06 update on 06GRC power costs.xls Chart 3 3 3" xfId="4232"/>
    <cellStyle name="_VC 6.15.06 update on 06GRC power costs.xls Chart 3 3 3 2" xfId="7179"/>
    <cellStyle name="_VC 6.15.06 update on 06GRC power costs.xls Chart 3 3 4" xfId="4233"/>
    <cellStyle name="_VC 6.15.06 update on 06GRC power costs.xls Chart 3 3 4 2" xfId="7180"/>
    <cellStyle name="_VC 6.15.06 update on 06GRC power costs.xls Chart 3 4" xfId="2190"/>
    <cellStyle name="_VC 6.15.06 update on 06GRC power costs.xls Chart 3 4 2" xfId="3413"/>
    <cellStyle name="_VC 6.15.06 update on 06GRC power costs.xls Chart 3 5" xfId="7181"/>
    <cellStyle name="_VC 6.15.06 update on 06GRC power costs.xls Chart 3_04 07E Wild Horse Wind Expansion (C) (2)" xfId="2191"/>
    <cellStyle name="_VC 6.15.06 update on 06GRC power costs.xls Chart 3_04 07E Wild Horse Wind Expansion (C) (2) 2" xfId="2192"/>
    <cellStyle name="_VC 6.15.06 update on 06GRC power costs.xls Chart 3_04 07E Wild Horse Wind Expansion (C) (2) 2 2" xfId="7182"/>
    <cellStyle name="_VC 6.15.06 update on 06GRC power costs.xls Chart 3_04 07E Wild Horse Wind Expansion (C) (2) 3" xfId="7183"/>
    <cellStyle name="_VC 6.15.06 update on 06GRC power costs.xls Chart 3_04 07E Wild Horse Wind Expansion (C) (2)_Adj Bench DR 3 for Initial Briefs (Electric)" xfId="2193"/>
    <cellStyle name="_VC 6.15.06 update on 06GRC power costs.xls Chart 3_04 07E Wild Horse Wind Expansion (C) (2)_Adj Bench DR 3 for Initial Briefs (Electric) 2" xfId="2194"/>
    <cellStyle name="_VC 6.15.06 update on 06GRC power costs.xls Chart 3_04 07E Wild Horse Wind Expansion (C) (2)_Adj Bench DR 3 for Initial Briefs (Electric) 2 2" xfId="7184"/>
    <cellStyle name="_VC 6.15.06 update on 06GRC power costs.xls Chart 3_04 07E Wild Horse Wind Expansion (C) (2)_Adj Bench DR 3 for Initial Briefs (Electric) 3" xfId="7185"/>
    <cellStyle name="_VC 6.15.06 update on 06GRC power costs.xls Chart 3_04 07E Wild Horse Wind Expansion (C) (2)_Electric Rev Req Model (2009 GRC) " xfId="2195"/>
    <cellStyle name="_VC 6.15.06 update on 06GRC power costs.xls Chart 3_04 07E Wild Horse Wind Expansion (C) (2)_Electric Rev Req Model (2009 GRC)  2" xfId="2196"/>
    <cellStyle name="_VC 6.15.06 update on 06GRC power costs.xls Chart 3_04 07E Wild Horse Wind Expansion (C) (2)_Electric Rev Req Model (2009 GRC)  2 2" xfId="7186"/>
    <cellStyle name="_VC 6.15.06 update on 06GRC power costs.xls Chart 3_04 07E Wild Horse Wind Expansion (C) (2)_Electric Rev Req Model (2009 GRC)  3" xfId="7187"/>
    <cellStyle name="_VC 6.15.06 update on 06GRC power costs.xls Chart 3_04 07E Wild Horse Wind Expansion (C) (2)_Electric Rev Req Model (2009 GRC) Rebuttal" xfId="2197"/>
    <cellStyle name="_VC 6.15.06 update on 06GRC power costs.xls Chart 3_04 07E Wild Horse Wind Expansion (C) (2)_Electric Rev Req Model (2009 GRC) Rebuttal 2" xfId="4234"/>
    <cellStyle name="_VC 6.15.06 update on 06GRC power costs.xls Chart 3_04 07E Wild Horse Wind Expansion (C) (2)_Electric Rev Req Model (2009 GRC) Rebuttal 2 2" xfId="7188"/>
    <cellStyle name="_VC 6.15.06 update on 06GRC power costs.xls Chart 3_04 07E Wild Horse Wind Expansion (C) (2)_Electric Rev Req Model (2009 GRC) Rebuttal 3" xfId="7189"/>
    <cellStyle name="_VC 6.15.06 update on 06GRC power costs.xls Chart 3_04 07E Wild Horse Wind Expansion (C) (2)_Electric Rev Req Model (2009 GRC) Rebuttal REmoval of New  WH Solar AdjustMI" xfId="2198"/>
    <cellStyle name="_VC 6.15.06 update on 06GRC power costs.xls Chart 3_04 07E Wild Horse Wind Expansion (C) (2)_Electric Rev Req Model (2009 GRC) Rebuttal REmoval of New  WH Solar AdjustMI 2" xfId="2199"/>
    <cellStyle name="_VC 6.15.06 update on 06GRC power costs.xls Chart 3_04 07E Wild Horse Wind Expansion (C) (2)_Electric Rev Req Model (2009 GRC) Rebuttal REmoval of New  WH Solar AdjustMI 2 2" xfId="7190"/>
    <cellStyle name="_VC 6.15.06 update on 06GRC power costs.xls Chart 3_04 07E Wild Horse Wind Expansion (C) (2)_Electric Rev Req Model (2009 GRC) Rebuttal REmoval of New  WH Solar AdjustMI 3" xfId="7191"/>
    <cellStyle name="_VC 6.15.06 update on 06GRC power costs.xls Chart 3_04 07E Wild Horse Wind Expansion (C) (2)_Electric Rev Req Model (2009 GRC) Revised 01-18-2010" xfId="2200"/>
    <cellStyle name="_VC 6.15.06 update on 06GRC power costs.xls Chart 3_04 07E Wild Horse Wind Expansion (C) (2)_Electric Rev Req Model (2009 GRC) Revised 01-18-2010 2" xfId="2201"/>
    <cellStyle name="_VC 6.15.06 update on 06GRC power costs.xls Chart 3_04 07E Wild Horse Wind Expansion (C) (2)_Electric Rev Req Model (2009 GRC) Revised 01-18-2010 2 2" xfId="7192"/>
    <cellStyle name="_VC 6.15.06 update on 06GRC power costs.xls Chart 3_04 07E Wild Horse Wind Expansion (C) (2)_Electric Rev Req Model (2009 GRC) Revised 01-18-2010 3" xfId="7193"/>
    <cellStyle name="_VC 6.15.06 update on 06GRC power costs.xls Chart 3_04 07E Wild Horse Wind Expansion (C) (2)_Final Order Electric EXHIBIT A-1" xfId="2202"/>
    <cellStyle name="_VC 6.15.06 update on 06GRC power costs.xls Chart 3_04 07E Wild Horse Wind Expansion (C) (2)_Final Order Electric EXHIBIT A-1 2" xfId="4235"/>
    <cellStyle name="_VC 6.15.06 update on 06GRC power costs.xls Chart 3_04 07E Wild Horse Wind Expansion (C) (2)_Final Order Electric EXHIBIT A-1 2 2" xfId="7194"/>
    <cellStyle name="_VC 6.15.06 update on 06GRC power costs.xls Chart 3_04 07E Wild Horse Wind Expansion (C) (2)_Final Order Electric EXHIBIT A-1 3" xfId="7195"/>
    <cellStyle name="_VC 6.15.06 update on 06GRC power costs.xls Chart 3_04 07E Wild Horse Wind Expansion (C) (2)_TENASKA REGULATORY ASSET" xfId="2203"/>
    <cellStyle name="_VC 6.15.06 update on 06GRC power costs.xls Chart 3_04 07E Wild Horse Wind Expansion (C) (2)_TENASKA REGULATORY ASSET 2" xfId="4236"/>
    <cellStyle name="_VC 6.15.06 update on 06GRC power costs.xls Chart 3_04 07E Wild Horse Wind Expansion (C) (2)_TENASKA REGULATORY ASSET 2 2" xfId="7196"/>
    <cellStyle name="_VC 6.15.06 update on 06GRC power costs.xls Chart 3_04 07E Wild Horse Wind Expansion (C) (2)_TENASKA REGULATORY ASSET 3" xfId="7197"/>
    <cellStyle name="_VC 6.15.06 update on 06GRC power costs.xls Chart 3_16.37E Wild Horse Expansion DeferralRevwrkingfile SF" xfId="2204"/>
    <cellStyle name="_VC 6.15.06 update on 06GRC power costs.xls Chart 3_16.37E Wild Horse Expansion DeferralRevwrkingfile SF 2" xfId="2205"/>
    <cellStyle name="_VC 6.15.06 update on 06GRC power costs.xls Chart 3_16.37E Wild Horse Expansion DeferralRevwrkingfile SF 2 2" xfId="7198"/>
    <cellStyle name="_VC 6.15.06 update on 06GRC power costs.xls Chart 3_16.37E Wild Horse Expansion DeferralRevwrkingfile SF 3" xfId="7199"/>
    <cellStyle name="_VC 6.15.06 update on 06GRC power costs.xls Chart 3_2009 GRC Compl Filing - Exhibit D" xfId="2206"/>
    <cellStyle name="_VC 6.15.06 update on 06GRC power costs.xls Chart 3_2009 GRC Compl Filing - Exhibit D 2" xfId="2207"/>
    <cellStyle name="_VC 6.15.06 update on 06GRC power costs.xls Chart 3_4 31 Regulatory Assets and Liabilities  7 06- Exhibit D" xfId="2208"/>
    <cellStyle name="_VC 6.15.06 update on 06GRC power costs.xls Chart 3_4 31 Regulatory Assets and Liabilities  7 06- Exhibit D 2" xfId="2209"/>
    <cellStyle name="_VC 6.15.06 update on 06GRC power costs.xls Chart 3_4 31 Regulatory Assets and Liabilities  7 06- Exhibit D 2 2" xfId="7200"/>
    <cellStyle name="_VC 6.15.06 update on 06GRC power costs.xls Chart 3_4 31 Regulatory Assets and Liabilities  7 06- Exhibit D 3" xfId="7201"/>
    <cellStyle name="_VC 6.15.06 update on 06GRC power costs.xls Chart 3_4 31 Regulatory Assets and Liabilities  7 06- Exhibit D_NIM Summary" xfId="2210"/>
    <cellStyle name="_VC 6.15.06 update on 06GRC power costs.xls Chart 3_4 31 Regulatory Assets and Liabilities  7 06- Exhibit D_NIM Summary 2" xfId="2211"/>
    <cellStyle name="_VC 6.15.06 update on 06GRC power costs.xls Chart 3_4 32 Regulatory Assets and Liabilities  7 06- Exhibit D" xfId="2212"/>
    <cellStyle name="_VC 6.15.06 update on 06GRC power costs.xls Chart 3_4 32 Regulatory Assets and Liabilities  7 06- Exhibit D 2" xfId="2213"/>
    <cellStyle name="_VC 6.15.06 update on 06GRC power costs.xls Chart 3_4 32 Regulatory Assets and Liabilities  7 06- Exhibit D 2 2" xfId="7202"/>
    <cellStyle name="_VC 6.15.06 update on 06GRC power costs.xls Chart 3_4 32 Regulatory Assets and Liabilities  7 06- Exhibit D 3" xfId="7203"/>
    <cellStyle name="_VC 6.15.06 update on 06GRC power costs.xls Chart 3_4 32 Regulatory Assets and Liabilities  7 06- Exhibit D_NIM Summary" xfId="2214"/>
    <cellStyle name="_VC 6.15.06 update on 06GRC power costs.xls Chart 3_4 32 Regulatory Assets and Liabilities  7 06- Exhibit D_NIM Summary 2" xfId="2215"/>
    <cellStyle name="_VC 6.15.06 update on 06GRC power costs.xls Chart 3_AURORA Total New" xfId="2216"/>
    <cellStyle name="_VC 6.15.06 update on 06GRC power costs.xls Chart 3_AURORA Total New 2" xfId="2217"/>
    <cellStyle name="_VC 6.15.06 update on 06GRC power costs.xls Chart 3_Book2" xfId="2218"/>
    <cellStyle name="_VC 6.15.06 update on 06GRC power costs.xls Chart 3_Book2 2" xfId="2219"/>
    <cellStyle name="_VC 6.15.06 update on 06GRC power costs.xls Chart 3_Book2 2 2" xfId="7204"/>
    <cellStyle name="_VC 6.15.06 update on 06GRC power costs.xls Chart 3_Book2 3" xfId="7205"/>
    <cellStyle name="_VC 6.15.06 update on 06GRC power costs.xls Chart 3_Book2_Adj Bench DR 3 for Initial Briefs (Electric)" xfId="2220"/>
    <cellStyle name="_VC 6.15.06 update on 06GRC power costs.xls Chart 3_Book2_Adj Bench DR 3 for Initial Briefs (Electric) 2" xfId="2221"/>
    <cellStyle name="_VC 6.15.06 update on 06GRC power costs.xls Chart 3_Book2_Adj Bench DR 3 for Initial Briefs (Electric) 2 2" xfId="7206"/>
    <cellStyle name="_VC 6.15.06 update on 06GRC power costs.xls Chart 3_Book2_Adj Bench DR 3 for Initial Briefs (Electric) 3" xfId="7207"/>
    <cellStyle name="_VC 6.15.06 update on 06GRC power costs.xls Chart 3_Book2_Electric Rev Req Model (2009 GRC) Rebuttal" xfId="2222"/>
    <cellStyle name="_VC 6.15.06 update on 06GRC power costs.xls Chart 3_Book2_Electric Rev Req Model (2009 GRC) Rebuttal 2" xfId="4237"/>
    <cellStyle name="_VC 6.15.06 update on 06GRC power costs.xls Chart 3_Book2_Electric Rev Req Model (2009 GRC) Rebuttal 2 2" xfId="7208"/>
    <cellStyle name="_VC 6.15.06 update on 06GRC power costs.xls Chart 3_Book2_Electric Rev Req Model (2009 GRC) Rebuttal 3" xfId="7209"/>
    <cellStyle name="_VC 6.15.06 update on 06GRC power costs.xls Chart 3_Book2_Electric Rev Req Model (2009 GRC) Rebuttal REmoval of New  WH Solar AdjustMI" xfId="2223"/>
    <cellStyle name="_VC 6.15.06 update on 06GRC power costs.xls Chart 3_Book2_Electric Rev Req Model (2009 GRC) Rebuttal REmoval of New  WH Solar AdjustMI 2" xfId="2224"/>
    <cellStyle name="_VC 6.15.06 update on 06GRC power costs.xls Chart 3_Book2_Electric Rev Req Model (2009 GRC) Rebuttal REmoval of New  WH Solar AdjustMI 2 2" xfId="7210"/>
    <cellStyle name="_VC 6.15.06 update on 06GRC power costs.xls Chart 3_Book2_Electric Rev Req Model (2009 GRC) Rebuttal REmoval of New  WH Solar AdjustMI 3" xfId="7211"/>
    <cellStyle name="_VC 6.15.06 update on 06GRC power costs.xls Chart 3_Book2_Electric Rev Req Model (2009 GRC) Revised 01-18-2010" xfId="2225"/>
    <cellStyle name="_VC 6.15.06 update on 06GRC power costs.xls Chart 3_Book2_Electric Rev Req Model (2009 GRC) Revised 01-18-2010 2" xfId="2226"/>
    <cellStyle name="_VC 6.15.06 update on 06GRC power costs.xls Chart 3_Book2_Electric Rev Req Model (2009 GRC) Revised 01-18-2010 2 2" xfId="7212"/>
    <cellStyle name="_VC 6.15.06 update on 06GRC power costs.xls Chart 3_Book2_Electric Rev Req Model (2009 GRC) Revised 01-18-2010 3" xfId="7213"/>
    <cellStyle name="_VC 6.15.06 update on 06GRC power costs.xls Chart 3_Book2_Final Order Electric EXHIBIT A-1" xfId="2227"/>
    <cellStyle name="_VC 6.15.06 update on 06GRC power costs.xls Chart 3_Book2_Final Order Electric EXHIBIT A-1 2" xfId="4238"/>
    <cellStyle name="_VC 6.15.06 update on 06GRC power costs.xls Chart 3_Book2_Final Order Electric EXHIBIT A-1 2 2" xfId="7214"/>
    <cellStyle name="_VC 6.15.06 update on 06GRC power costs.xls Chart 3_Book2_Final Order Electric EXHIBIT A-1 3" xfId="7215"/>
    <cellStyle name="_VC 6.15.06 update on 06GRC power costs.xls Chart 3_Book4" xfId="2228"/>
    <cellStyle name="_VC 6.15.06 update on 06GRC power costs.xls Chart 3_Book4 2" xfId="2229"/>
    <cellStyle name="_VC 6.15.06 update on 06GRC power costs.xls Chart 3_Book4 2 2" xfId="7216"/>
    <cellStyle name="_VC 6.15.06 update on 06GRC power costs.xls Chart 3_Book4 3" xfId="7217"/>
    <cellStyle name="_VC 6.15.06 update on 06GRC power costs.xls Chart 3_Book9" xfId="2230"/>
    <cellStyle name="_VC 6.15.06 update on 06GRC power costs.xls Chart 3_Book9 2" xfId="2231"/>
    <cellStyle name="_VC 6.15.06 update on 06GRC power costs.xls Chart 3_Book9 2 2" xfId="7218"/>
    <cellStyle name="_VC 6.15.06 update on 06GRC power costs.xls Chart 3_Book9 3" xfId="7219"/>
    <cellStyle name="_VC 6.15.06 update on 06GRC power costs.xls Chart 3_INPUTS" xfId="4239"/>
    <cellStyle name="_VC 6.15.06 update on 06GRC power costs.xls Chart 3_INPUTS 2" xfId="4240"/>
    <cellStyle name="_VC 6.15.06 update on 06GRC power costs.xls Chart 3_INPUTS 2 2" xfId="7220"/>
    <cellStyle name="_VC 6.15.06 update on 06GRC power costs.xls Chart 3_INPUTS 3" xfId="7221"/>
    <cellStyle name="_VC 6.15.06 update on 06GRC power costs.xls Chart 3_NIM Summary" xfId="2232"/>
    <cellStyle name="_VC 6.15.06 update on 06GRC power costs.xls Chart 3_NIM Summary 09GRC" xfId="2233"/>
    <cellStyle name="_VC 6.15.06 update on 06GRC power costs.xls Chart 3_NIM Summary 09GRC 2" xfId="2234"/>
    <cellStyle name="_VC 6.15.06 update on 06GRC power costs.xls Chart 3_NIM Summary 2" xfId="2235"/>
    <cellStyle name="_VC 6.15.06 update on 06GRC power costs.xls Chart 3_NIM Summary 3" xfId="2236"/>
    <cellStyle name="_VC 6.15.06 update on 06GRC power costs.xls Chart 3_NIM Summary 4" xfId="3414"/>
    <cellStyle name="_VC 6.15.06 update on 06GRC power costs.xls Chart 3_NIM Summary 5" xfId="3415"/>
    <cellStyle name="_VC 6.15.06 update on 06GRC power costs.xls Chart 3_NIM Summary 6" xfId="3416"/>
    <cellStyle name="_VC 6.15.06 update on 06GRC power costs.xls Chart 3_NIM Summary 7" xfId="3417"/>
    <cellStyle name="_VC 6.15.06 update on 06GRC power costs.xls Chart 3_NIM Summary 8" xfId="3418"/>
    <cellStyle name="_VC 6.15.06 update on 06GRC power costs.xls Chart 3_NIM Summary 9" xfId="3419"/>
    <cellStyle name="_VC 6.15.06 update on 06GRC power costs.xls Chart 3_PCA 9 -  Exhibit D April 2010 (3)" xfId="2237"/>
    <cellStyle name="_VC 6.15.06 update on 06GRC power costs.xls Chart 3_PCA 9 -  Exhibit D April 2010 (3) 2" xfId="2238"/>
    <cellStyle name="_VC 6.15.06 update on 06GRC power costs.xls Chart 3_Power Costs - Comparison bx Rbtl-Staff-Jt-PC" xfId="2239"/>
    <cellStyle name="_VC 6.15.06 update on 06GRC power costs.xls Chart 3_Power Costs - Comparison bx Rbtl-Staff-Jt-PC 2" xfId="2240"/>
    <cellStyle name="_VC 6.15.06 update on 06GRC power costs.xls Chart 3_Power Costs - Comparison bx Rbtl-Staff-Jt-PC 2 2" xfId="7222"/>
    <cellStyle name="_VC 6.15.06 update on 06GRC power costs.xls Chart 3_Power Costs - Comparison bx Rbtl-Staff-Jt-PC 3" xfId="7223"/>
    <cellStyle name="_VC 6.15.06 update on 06GRC power costs.xls Chart 3_Power Costs - Comparison bx Rbtl-Staff-Jt-PC_Adj Bench DR 3 for Initial Briefs (Electric)" xfId="2241"/>
    <cellStyle name="_VC 6.15.06 update on 06GRC power costs.xls Chart 3_Power Costs - Comparison bx Rbtl-Staff-Jt-PC_Adj Bench DR 3 for Initial Briefs (Electric) 2" xfId="2242"/>
    <cellStyle name="_VC 6.15.06 update on 06GRC power costs.xls Chart 3_Power Costs - Comparison bx Rbtl-Staff-Jt-PC_Adj Bench DR 3 for Initial Briefs (Electric) 2 2" xfId="7224"/>
    <cellStyle name="_VC 6.15.06 update on 06GRC power costs.xls Chart 3_Power Costs - Comparison bx Rbtl-Staff-Jt-PC_Adj Bench DR 3 for Initial Briefs (Electric) 3" xfId="7225"/>
    <cellStyle name="_VC 6.15.06 update on 06GRC power costs.xls Chart 3_Power Costs - Comparison bx Rbtl-Staff-Jt-PC_Electric Rev Req Model (2009 GRC) Rebuttal" xfId="2243"/>
    <cellStyle name="_VC 6.15.06 update on 06GRC power costs.xls Chart 3_Power Costs - Comparison bx Rbtl-Staff-Jt-PC_Electric Rev Req Model (2009 GRC) Rebuttal 2" xfId="4241"/>
    <cellStyle name="_VC 6.15.06 update on 06GRC power costs.xls Chart 3_Power Costs - Comparison bx Rbtl-Staff-Jt-PC_Electric Rev Req Model (2009 GRC) Rebuttal 2 2" xfId="7226"/>
    <cellStyle name="_VC 6.15.06 update on 06GRC power costs.xls Chart 3_Power Costs - Comparison bx Rbtl-Staff-Jt-PC_Electric Rev Req Model (2009 GRC) Rebuttal 3" xfId="7227"/>
    <cellStyle name="_VC 6.15.06 update on 06GRC power costs.xls Chart 3_Power Costs - Comparison bx Rbtl-Staff-Jt-PC_Electric Rev Req Model (2009 GRC) Rebuttal REmoval of New  WH Solar AdjustMI" xfId="2244"/>
    <cellStyle name="_VC 6.15.06 update on 06GRC power costs.xls Chart 3_Power Costs - Comparison bx Rbtl-Staff-Jt-PC_Electric Rev Req Model (2009 GRC) Rebuttal REmoval of New  WH Solar AdjustMI 2" xfId="2245"/>
    <cellStyle name="_VC 6.15.06 update on 06GRC power costs.xls Chart 3_Power Costs - Comparison bx Rbtl-Staff-Jt-PC_Electric Rev Req Model (2009 GRC) Rebuttal REmoval of New  WH Solar AdjustMI 2 2" xfId="7228"/>
    <cellStyle name="_VC 6.15.06 update on 06GRC power costs.xls Chart 3_Power Costs - Comparison bx Rbtl-Staff-Jt-PC_Electric Rev Req Model (2009 GRC) Rebuttal REmoval of New  WH Solar AdjustMI 3" xfId="7229"/>
    <cellStyle name="_VC 6.15.06 update on 06GRC power costs.xls Chart 3_Power Costs - Comparison bx Rbtl-Staff-Jt-PC_Electric Rev Req Model (2009 GRC) Revised 01-18-2010" xfId="2246"/>
    <cellStyle name="_VC 6.15.06 update on 06GRC power costs.xls Chart 3_Power Costs - Comparison bx Rbtl-Staff-Jt-PC_Electric Rev Req Model (2009 GRC) Revised 01-18-2010 2" xfId="2247"/>
    <cellStyle name="_VC 6.15.06 update on 06GRC power costs.xls Chart 3_Power Costs - Comparison bx Rbtl-Staff-Jt-PC_Electric Rev Req Model (2009 GRC) Revised 01-18-2010 2 2" xfId="7230"/>
    <cellStyle name="_VC 6.15.06 update on 06GRC power costs.xls Chart 3_Power Costs - Comparison bx Rbtl-Staff-Jt-PC_Electric Rev Req Model (2009 GRC) Revised 01-18-2010 3" xfId="7231"/>
    <cellStyle name="_VC 6.15.06 update on 06GRC power costs.xls Chart 3_Power Costs - Comparison bx Rbtl-Staff-Jt-PC_Final Order Electric EXHIBIT A-1" xfId="2248"/>
    <cellStyle name="_VC 6.15.06 update on 06GRC power costs.xls Chart 3_Power Costs - Comparison bx Rbtl-Staff-Jt-PC_Final Order Electric EXHIBIT A-1 2" xfId="4242"/>
    <cellStyle name="_VC 6.15.06 update on 06GRC power costs.xls Chart 3_Power Costs - Comparison bx Rbtl-Staff-Jt-PC_Final Order Electric EXHIBIT A-1 2 2" xfId="7232"/>
    <cellStyle name="_VC 6.15.06 update on 06GRC power costs.xls Chart 3_Power Costs - Comparison bx Rbtl-Staff-Jt-PC_Final Order Electric EXHIBIT A-1 3" xfId="7233"/>
    <cellStyle name="_VC 6.15.06 update on 06GRC power costs.xls Chart 3_Production Adj 4.37" xfId="4243"/>
    <cellStyle name="_VC 6.15.06 update on 06GRC power costs.xls Chart 3_Production Adj 4.37 2" xfId="4244"/>
    <cellStyle name="_VC 6.15.06 update on 06GRC power costs.xls Chart 3_Production Adj 4.37 2 2" xfId="7234"/>
    <cellStyle name="_VC 6.15.06 update on 06GRC power costs.xls Chart 3_Production Adj 4.37 3" xfId="7235"/>
    <cellStyle name="_VC 6.15.06 update on 06GRC power costs.xls Chart 3_Purchased Power Adj 4.03" xfId="4245"/>
    <cellStyle name="_VC 6.15.06 update on 06GRC power costs.xls Chart 3_Purchased Power Adj 4.03 2" xfId="4246"/>
    <cellStyle name="_VC 6.15.06 update on 06GRC power costs.xls Chart 3_Purchased Power Adj 4.03 2 2" xfId="7236"/>
    <cellStyle name="_VC 6.15.06 update on 06GRC power costs.xls Chart 3_Purchased Power Adj 4.03 3" xfId="7237"/>
    <cellStyle name="_VC 6.15.06 update on 06GRC power costs.xls Chart 3_Rebuttal Power Costs" xfId="2249"/>
    <cellStyle name="_VC 6.15.06 update on 06GRC power costs.xls Chart 3_Rebuttal Power Costs 2" xfId="2250"/>
    <cellStyle name="_VC 6.15.06 update on 06GRC power costs.xls Chart 3_Rebuttal Power Costs 2 2" xfId="7238"/>
    <cellStyle name="_VC 6.15.06 update on 06GRC power costs.xls Chart 3_Rebuttal Power Costs 3" xfId="7239"/>
    <cellStyle name="_VC 6.15.06 update on 06GRC power costs.xls Chart 3_Rebuttal Power Costs_Adj Bench DR 3 for Initial Briefs (Electric)" xfId="2251"/>
    <cellStyle name="_VC 6.15.06 update on 06GRC power costs.xls Chart 3_Rebuttal Power Costs_Adj Bench DR 3 for Initial Briefs (Electric) 2" xfId="2252"/>
    <cellStyle name="_VC 6.15.06 update on 06GRC power costs.xls Chart 3_Rebuttal Power Costs_Adj Bench DR 3 for Initial Briefs (Electric) 2 2" xfId="7240"/>
    <cellStyle name="_VC 6.15.06 update on 06GRC power costs.xls Chart 3_Rebuttal Power Costs_Adj Bench DR 3 for Initial Briefs (Electric) 3" xfId="7241"/>
    <cellStyle name="_VC 6.15.06 update on 06GRC power costs.xls Chart 3_Rebuttal Power Costs_Electric Rev Req Model (2009 GRC) Rebuttal" xfId="2253"/>
    <cellStyle name="_VC 6.15.06 update on 06GRC power costs.xls Chart 3_Rebuttal Power Costs_Electric Rev Req Model (2009 GRC) Rebuttal 2" xfId="4247"/>
    <cellStyle name="_VC 6.15.06 update on 06GRC power costs.xls Chart 3_Rebuttal Power Costs_Electric Rev Req Model (2009 GRC) Rebuttal 2 2" xfId="7242"/>
    <cellStyle name="_VC 6.15.06 update on 06GRC power costs.xls Chart 3_Rebuttal Power Costs_Electric Rev Req Model (2009 GRC) Rebuttal 3" xfId="7243"/>
    <cellStyle name="_VC 6.15.06 update on 06GRC power costs.xls Chart 3_Rebuttal Power Costs_Electric Rev Req Model (2009 GRC) Rebuttal REmoval of New  WH Solar AdjustMI" xfId="2254"/>
    <cellStyle name="_VC 6.15.06 update on 06GRC power costs.xls Chart 3_Rebuttal Power Costs_Electric Rev Req Model (2009 GRC) Rebuttal REmoval of New  WH Solar AdjustMI 2" xfId="2255"/>
    <cellStyle name="_VC 6.15.06 update on 06GRC power costs.xls Chart 3_Rebuttal Power Costs_Electric Rev Req Model (2009 GRC) Rebuttal REmoval of New  WH Solar AdjustMI 2 2" xfId="7244"/>
    <cellStyle name="_VC 6.15.06 update on 06GRC power costs.xls Chart 3_Rebuttal Power Costs_Electric Rev Req Model (2009 GRC) Rebuttal REmoval of New  WH Solar AdjustMI 3" xfId="7245"/>
    <cellStyle name="_VC 6.15.06 update on 06GRC power costs.xls Chart 3_Rebuttal Power Costs_Electric Rev Req Model (2009 GRC) Revised 01-18-2010" xfId="2256"/>
    <cellStyle name="_VC 6.15.06 update on 06GRC power costs.xls Chart 3_Rebuttal Power Costs_Electric Rev Req Model (2009 GRC) Revised 01-18-2010 2" xfId="2257"/>
    <cellStyle name="_VC 6.15.06 update on 06GRC power costs.xls Chart 3_Rebuttal Power Costs_Electric Rev Req Model (2009 GRC) Revised 01-18-2010 2 2" xfId="7246"/>
    <cellStyle name="_VC 6.15.06 update on 06GRC power costs.xls Chart 3_Rebuttal Power Costs_Electric Rev Req Model (2009 GRC) Revised 01-18-2010 3" xfId="7247"/>
    <cellStyle name="_VC 6.15.06 update on 06GRC power costs.xls Chart 3_Rebuttal Power Costs_Final Order Electric EXHIBIT A-1" xfId="2258"/>
    <cellStyle name="_VC 6.15.06 update on 06GRC power costs.xls Chart 3_Rebuttal Power Costs_Final Order Electric EXHIBIT A-1 2" xfId="4248"/>
    <cellStyle name="_VC 6.15.06 update on 06GRC power costs.xls Chart 3_Rebuttal Power Costs_Final Order Electric EXHIBIT A-1 2 2" xfId="7248"/>
    <cellStyle name="_VC 6.15.06 update on 06GRC power costs.xls Chart 3_Rebuttal Power Costs_Final Order Electric EXHIBIT A-1 3" xfId="7249"/>
    <cellStyle name="_VC 6.15.06 update on 06GRC power costs.xls Chart 3_ROR &amp; CONV FACTOR" xfId="4249"/>
    <cellStyle name="_VC 6.15.06 update on 06GRC power costs.xls Chart 3_ROR &amp; CONV FACTOR 2" xfId="4250"/>
    <cellStyle name="_VC 6.15.06 update on 06GRC power costs.xls Chart 3_ROR &amp; CONV FACTOR 2 2" xfId="7250"/>
    <cellStyle name="_VC 6.15.06 update on 06GRC power costs.xls Chart 3_ROR &amp; CONV FACTOR 3" xfId="7251"/>
    <cellStyle name="_VC 6.15.06 update on 06GRC power costs.xls Chart 3_ROR 5.02" xfId="4251"/>
    <cellStyle name="_VC 6.15.06 update on 06GRC power costs.xls Chart 3_ROR 5.02 2" xfId="4252"/>
    <cellStyle name="_VC 6.15.06 update on 06GRC power costs.xls Chart 3_ROR 5.02 2 2" xfId="7252"/>
    <cellStyle name="_VC 6.15.06 update on 06GRC power costs.xls Chart 3_ROR 5.02 3" xfId="7253"/>
    <cellStyle name="_VC 6.15.06 update on 06GRC power costs.xls Chart 3_Wind Integration 10GRC" xfId="2259"/>
    <cellStyle name="_VC 6.15.06 update on 06GRC power costs.xls Chart 3_Wind Integration 10GRC 2" xfId="2260"/>
    <cellStyle name="_Worksheet" xfId="2261"/>
    <cellStyle name="_Worksheet_NIM Summary" xfId="2262"/>
    <cellStyle name="_Worksheet_NIM Summary 2" xfId="2263"/>
    <cellStyle name="_Worksheet_Transmission Workbook for May BOD" xfId="2264"/>
    <cellStyle name="_Worksheet_Transmission Workbook for May BOD 2" xfId="2265"/>
    <cellStyle name="_Worksheet_Wind Integration 10GRC" xfId="2266"/>
    <cellStyle name="_Worksheet_Wind Integration 10GRC 2" xfId="2267"/>
    <cellStyle name="0,0_x000d__x000a_NA_x000d__x000a_" xfId="2268"/>
    <cellStyle name="20% - Accent1" xfId="2269" builtinId="30" customBuiltin="1"/>
    <cellStyle name="20% - Accent1 2" xfId="2270"/>
    <cellStyle name="20% - Accent1 2 2" xfId="2271"/>
    <cellStyle name="20% - Accent1 2 2 2" xfId="2272"/>
    <cellStyle name="20% - Accent1 2 3" xfId="2273"/>
    <cellStyle name="20% - Accent1 2_2009 GRC Compl Filing - Exhibit D" xfId="2274"/>
    <cellStyle name="20% - Accent1 3" xfId="2275"/>
    <cellStyle name="20% - Accent1 3 2" xfId="2276"/>
    <cellStyle name="20% - Accent1 3 3" xfId="3420"/>
    <cellStyle name="20% - Accent1 4" xfId="2277"/>
    <cellStyle name="20% - Accent1 4 2" xfId="4253"/>
    <cellStyle name="20% - Accent1 4 2 2" xfId="4254"/>
    <cellStyle name="20% - Accent1 4 2 3" xfId="4255"/>
    <cellStyle name="20% - Accent1 4 2 4" xfId="7254"/>
    <cellStyle name="20% - Accent1 4 3" xfId="4256"/>
    <cellStyle name="20% - Accent1 4 3 2" xfId="4257"/>
    <cellStyle name="20% - Accent1 4 4" xfId="4258"/>
    <cellStyle name="20% - Accent1 4 5" xfId="4259"/>
    <cellStyle name="20% - Accent1 4 6" xfId="7255"/>
    <cellStyle name="20% - Accent1 4 7" xfId="7256"/>
    <cellStyle name="20% - Accent1 5" xfId="3127"/>
    <cellStyle name="20% - Accent2" xfId="2278" builtinId="34" customBuiltin="1"/>
    <cellStyle name="20% - Accent2 2" xfId="2279"/>
    <cellStyle name="20% - Accent2 2 2" xfId="2280"/>
    <cellStyle name="20% - Accent2 2 2 2" xfId="2281"/>
    <cellStyle name="20% - Accent2 2 3" xfId="2282"/>
    <cellStyle name="20% - Accent2 2_2009 GRC Compl Filing - Exhibit D" xfId="2283"/>
    <cellStyle name="20% - Accent2 3" xfId="2284"/>
    <cellStyle name="20% - Accent2 3 2" xfId="2285"/>
    <cellStyle name="20% - Accent2 3 3" xfId="3421"/>
    <cellStyle name="20% - Accent2 4" xfId="2286"/>
    <cellStyle name="20% - Accent2 4 2" xfId="4260"/>
    <cellStyle name="20% - Accent2 4 2 2" xfId="4261"/>
    <cellStyle name="20% - Accent2 4 2 3" xfId="4262"/>
    <cellStyle name="20% - Accent2 4 2 4" xfId="7257"/>
    <cellStyle name="20% - Accent2 4 3" xfId="4263"/>
    <cellStyle name="20% - Accent2 4 3 2" xfId="4264"/>
    <cellStyle name="20% - Accent2 4 4" xfId="4265"/>
    <cellStyle name="20% - Accent2 4 5" xfId="4266"/>
    <cellStyle name="20% - Accent2 4 6" xfId="7258"/>
    <cellStyle name="20% - Accent2 4 7" xfId="7259"/>
    <cellStyle name="20% - Accent2 5" xfId="3128"/>
    <cellStyle name="20% - Accent3" xfId="2287" builtinId="38" customBuiltin="1"/>
    <cellStyle name="20% - Accent3 2" xfId="2288"/>
    <cellStyle name="20% - Accent3 2 2" xfId="2289"/>
    <cellStyle name="20% - Accent3 2 2 2" xfId="2290"/>
    <cellStyle name="20% - Accent3 2 3" xfId="2291"/>
    <cellStyle name="20% - Accent3 2_2009 GRC Compl Filing - Exhibit D" xfId="2292"/>
    <cellStyle name="20% - Accent3 3" xfId="2293"/>
    <cellStyle name="20% - Accent3 3 2" xfId="2294"/>
    <cellStyle name="20% - Accent3 3 3" xfId="3422"/>
    <cellStyle name="20% - Accent3 4" xfId="2295"/>
    <cellStyle name="20% - Accent3 4 2" xfId="4267"/>
    <cellStyle name="20% - Accent3 4 2 2" xfId="4268"/>
    <cellStyle name="20% - Accent3 4 2 3" xfId="4269"/>
    <cellStyle name="20% - Accent3 4 2 4" xfId="7260"/>
    <cellStyle name="20% - Accent3 4 3" xfId="4270"/>
    <cellStyle name="20% - Accent3 4 3 2" xfId="4271"/>
    <cellStyle name="20% - Accent3 4 4" xfId="4272"/>
    <cellStyle name="20% - Accent3 4 5" xfId="4273"/>
    <cellStyle name="20% - Accent3 4 6" xfId="7261"/>
    <cellStyle name="20% - Accent3 4 7" xfId="7262"/>
    <cellStyle name="20% - Accent3 5" xfId="3129"/>
    <cellStyle name="20% - Accent4" xfId="2296" builtinId="42" customBuiltin="1"/>
    <cellStyle name="20% - Accent4 2" xfId="2297"/>
    <cellStyle name="20% - Accent4 2 2" xfId="2298"/>
    <cellStyle name="20% - Accent4 2 2 2" xfId="2299"/>
    <cellStyle name="20% - Accent4 2 3" xfId="2300"/>
    <cellStyle name="20% - Accent4 2_2009 GRC Compl Filing - Exhibit D" xfId="2301"/>
    <cellStyle name="20% - Accent4 3" xfId="2302"/>
    <cellStyle name="20% - Accent4 3 2" xfId="2303"/>
    <cellStyle name="20% - Accent4 3 3" xfId="3423"/>
    <cellStyle name="20% - Accent4 4" xfId="2304"/>
    <cellStyle name="20% - Accent4 4 2" xfId="4274"/>
    <cellStyle name="20% - Accent4 4 2 2" xfId="4275"/>
    <cellStyle name="20% - Accent4 4 2 3" xfId="4276"/>
    <cellStyle name="20% - Accent4 4 2 4" xfId="7263"/>
    <cellStyle name="20% - Accent4 4 3" xfId="4277"/>
    <cellStyle name="20% - Accent4 4 3 2" xfId="4278"/>
    <cellStyle name="20% - Accent4 4 4" xfId="4279"/>
    <cellStyle name="20% - Accent4 4 5" xfId="4280"/>
    <cellStyle name="20% - Accent4 4 6" xfId="7264"/>
    <cellStyle name="20% - Accent4 4 7" xfId="7265"/>
    <cellStyle name="20% - Accent4 5" xfId="3130"/>
    <cellStyle name="20% - Accent5" xfId="2305" builtinId="46" customBuiltin="1"/>
    <cellStyle name="20% - Accent5 2" xfId="2306"/>
    <cellStyle name="20% - Accent5 2 2" xfId="2307"/>
    <cellStyle name="20% - Accent5 2 2 2" xfId="2308"/>
    <cellStyle name="20% - Accent5 2 3" xfId="2309"/>
    <cellStyle name="20% - Accent5 2_2009 GRC Compl Filing - Exhibit D" xfId="2310"/>
    <cellStyle name="20% - Accent5 3" xfId="2311"/>
    <cellStyle name="20% - Accent5 3 2" xfId="2312"/>
    <cellStyle name="20% - Accent5 3 3" xfId="3424"/>
    <cellStyle name="20% - Accent5 4" xfId="2313"/>
    <cellStyle name="20% - Accent5 4 2" xfId="4281"/>
    <cellStyle name="20% - Accent5 4 3" xfId="4282"/>
    <cellStyle name="20% - Accent5 5" xfId="3131"/>
    <cellStyle name="20% - Accent5 5 2" xfId="4283"/>
    <cellStyle name="20% - Accent5 6" xfId="4284"/>
    <cellStyle name="20% - Accent5 6 2" xfId="4285"/>
    <cellStyle name="20% - Accent5 7" xfId="4286"/>
    <cellStyle name="20% - Accent5 8" xfId="4287"/>
    <cellStyle name="20% - Accent6" xfId="2314" builtinId="50" customBuiltin="1"/>
    <cellStyle name="20% - Accent6 2" xfId="2315"/>
    <cellStyle name="20% - Accent6 2 2" xfId="2316"/>
    <cellStyle name="20% - Accent6 2 2 2" xfId="2317"/>
    <cellStyle name="20% - Accent6 2 3" xfId="2318"/>
    <cellStyle name="20% - Accent6 2_2009 GRC Compl Filing - Exhibit D" xfId="2319"/>
    <cellStyle name="20% - Accent6 3" xfId="2320"/>
    <cellStyle name="20% - Accent6 3 2" xfId="2321"/>
    <cellStyle name="20% - Accent6 3 3" xfId="3425"/>
    <cellStyle name="20% - Accent6 4" xfId="2322"/>
    <cellStyle name="20% - Accent6 4 2" xfId="4288"/>
    <cellStyle name="20% - Accent6 4 2 2" xfId="4289"/>
    <cellStyle name="20% - Accent6 4 2 3" xfId="4290"/>
    <cellStyle name="20% - Accent6 4 2 4" xfId="7266"/>
    <cellStyle name="20% - Accent6 4 3" xfId="4291"/>
    <cellStyle name="20% - Accent6 4 3 2" xfId="4292"/>
    <cellStyle name="20% - Accent6 4 4" xfId="4293"/>
    <cellStyle name="20% - Accent6 4 5" xfId="4294"/>
    <cellStyle name="20% - Accent6 4 6" xfId="7267"/>
    <cellStyle name="20% - Accent6 4 7" xfId="7268"/>
    <cellStyle name="20% - Accent6 5" xfId="3132"/>
    <cellStyle name="40% - Accent1" xfId="2323" builtinId="31" customBuiltin="1"/>
    <cellStyle name="40% - Accent1 2" xfId="2324"/>
    <cellStyle name="40% - Accent1 2 2" xfId="2325"/>
    <cellStyle name="40% - Accent1 2 2 2" xfId="2326"/>
    <cellStyle name="40% - Accent1 2 3" xfId="2327"/>
    <cellStyle name="40% - Accent1 2_2009 GRC Compl Filing - Exhibit D" xfId="2328"/>
    <cellStyle name="40% - Accent1 3" xfId="2329"/>
    <cellStyle name="40% - Accent1 3 2" xfId="2330"/>
    <cellStyle name="40% - Accent1 3 3" xfId="3426"/>
    <cellStyle name="40% - Accent1 4" xfId="2331"/>
    <cellStyle name="40% - Accent1 4 2" xfId="4295"/>
    <cellStyle name="40% - Accent1 4 2 2" xfId="4296"/>
    <cellStyle name="40% - Accent1 4 2 3" xfId="4297"/>
    <cellStyle name="40% - Accent1 4 2 4" xfId="7269"/>
    <cellStyle name="40% - Accent1 4 3" xfId="4298"/>
    <cellStyle name="40% - Accent1 4 3 2" xfId="4299"/>
    <cellStyle name="40% - Accent1 4 4" xfId="4300"/>
    <cellStyle name="40% - Accent1 4 5" xfId="4301"/>
    <cellStyle name="40% - Accent1 4 6" xfId="7270"/>
    <cellStyle name="40% - Accent1 4 7" xfId="7271"/>
    <cellStyle name="40% - Accent1 5" xfId="3133"/>
    <cellStyle name="40% - Accent2" xfId="2332" builtinId="35" customBuiltin="1"/>
    <cellStyle name="40% - Accent2 2" xfId="2333"/>
    <cellStyle name="40% - Accent2 2 2" xfId="2334"/>
    <cellStyle name="40% - Accent2 2 2 2" xfId="2335"/>
    <cellStyle name="40% - Accent2 2 3" xfId="2336"/>
    <cellStyle name="40% - Accent2 2_2009 GRC Compl Filing - Exhibit D" xfId="2337"/>
    <cellStyle name="40% - Accent2 3" xfId="2338"/>
    <cellStyle name="40% - Accent2 3 2" xfId="2339"/>
    <cellStyle name="40% - Accent2 3 3" xfId="3427"/>
    <cellStyle name="40% - Accent2 4" xfId="2340"/>
    <cellStyle name="40% - Accent2 4 2" xfId="4302"/>
    <cellStyle name="40% - Accent2 4 3" xfId="4303"/>
    <cellStyle name="40% - Accent2 5" xfId="3134"/>
    <cellStyle name="40% - Accent2 5 2" xfId="4304"/>
    <cellStyle name="40% - Accent2 6" xfId="4305"/>
    <cellStyle name="40% - Accent2 6 2" xfId="4306"/>
    <cellStyle name="40% - Accent2 7" xfId="4307"/>
    <cellStyle name="40% - Accent2 8" xfId="4308"/>
    <cellStyle name="40% - Accent3" xfId="2341" builtinId="39" customBuiltin="1"/>
    <cellStyle name="40% - Accent3 2" xfId="2342"/>
    <cellStyle name="40% - Accent3 2 2" xfId="2343"/>
    <cellStyle name="40% - Accent3 2 2 2" xfId="2344"/>
    <cellStyle name="40% - Accent3 2 3" xfId="2345"/>
    <cellStyle name="40% - Accent3 2_2009 GRC Compl Filing - Exhibit D" xfId="2346"/>
    <cellStyle name="40% - Accent3 3" xfId="2347"/>
    <cellStyle name="40% - Accent3 3 2" xfId="2348"/>
    <cellStyle name="40% - Accent3 3 3" xfId="3428"/>
    <cellStyle name="40% - Accent3 4" xfId="2349"/>
    <cellStyle name="40% - Accent3 4 2" xfId="4309"/>
    <cellStyle name="40% - Accent3 4 2 2" xfId="4310"/>
    <cellStyle name="40% - Accent3 4 2 3" xfId="4311"/>
    <cellStyle name="40% - Accent3 4 2 4" xfId="7272"/>
    <cellStyle name="40% - Accent3 4 3" xfId="4312"/>
    <cellStyle name="40% - Accent3 4 3 2" xfId="4313"/>
    <cellStyle name="40% - Accent3 4 4" xfId="4314"/>
    <cellStyle name="40% - Accent3 4 5" xfId="4315"/>
    <cellStyle name="40% - Accent3 4 6" xfId="7273"/>
    <cellStyle name="40% - Accent3 4 7" xfId="7274"/>
    <cellStyle name="40% - Accent3 5" xfId="3135"/>
    <cellStyle name="40% - Accent4" xfId="2350" builtinId="43" customBuiltin="1"/>
    <cellStyle name="40% - Accent4 2" xfId="2351"/>
    <cellStyle name="40% - Accent4 2 2" xfId="2352"/>
    <cellStyle name="40% - Accent4 2 2 2" xfId="2353"/>
    <cellStyle name="40% - Accent4 2 3" xfId="2354"/>
    <cellStyle name="40% - Accent4 2_2009 GRC Compl Filing - Exhibit D" xfId="2355"/>
    <cellStyle name="40% - Accent4 3" xfId="2356"/>
    <cellStyle name="40% - Accent4 3 2" xfId="2357"/>
    <cellStyle name="40% - Accent4 3 3" xfId="3429"/>
    <cellStyle name="40% - Accent4 4" xfId="2358"/>
    <cellStyle name="40% - Accent4 4 2" xfId="4316"/>
    <cellStyle name="40% - Accent4 4 2 2" xfId="4317"/>
    <cellStyle name="40% - Accent4 4 2 3" xfId="4318"/>
    <cellStyle name="40% - Accent4 4 2 4" xfId="7275"/>
    <cellStyle name="40% - Accent4 4 3" xfId="4319"/>
    <cellStyle name="40% - Accent4 4 3 2" xfId="4320"/>
    <cellStyle name="40% - Accent4 4 4" xfId="4321"/>
    <cellStyle name="40% - Accent4 4 5" xfId="4322"/>
    <cellStyle name="40% - Accent4 4 6" xfId="7276"/>
    <cellStyle name="40% - Accent4 4 7" xfId="7277"/>
    <cellStyle name="40% - Accent4 5" xfId="3136"/>
    <cellStyle name="40% - Accent5" xfId="2359" builtinId="47" customBuiltin="1"/>
    <cellStyle name="40% - Accent5 2" xfId="2360"/>
    <cellStyle name="40% - Accent5 2 2" xfId="2361"/>
    <cellStyle name="40% - Accent5 2 2 2" xfId="2362"/>
    <cellStyle name="40% - Accent5 2 3" xfId="2363"/>
    <cellStyle name="40% - Accent5 2_2009 GRC Compl Filing - Exhibit D" xfId="2364"/>
    <cellStyle name="40% - Accent5 3" xfId="2365"/>
    <cellStyle name="40% - Accent5 3 2" xfId="2366"/>
    <cellStyle name="40% - Accent5 3 3" xfId="3430"/>
    <cellStyle name="40% - Accent5 4" xfId="2367"/>
    <cellStyle name="40% - Accent5 4 2" xfId="4323"/>
    <cellStyle name="40% - Accent5 4 2 2" xfId="4324"/>
    <cellStyle name="40% - Accent5 4 2 3" xfId="4325"/>
    <cellStyle name="40% - Accent5 4 2 4" xfId="7278"/>
    <cellStyle name="40% - Accent5 4 3" xfId="4326"/>
    <cellStyle name="40% - Accent5 4 3 2" xfId="4327"/>
    <cellStyle name="40% - Accent5 4 4" xfId="4328"/>
    <cellStyle name="40% - Accent5 4 5" xfId="4329"/>
    <cellStyle name="40% - Accent5 4 6" xfId="7279"/>
    <cellStyle name="40% - Accent5 4 7" xfId="7280"/>
    <cellStyle name="40% - Accent5 5" xfId="3137"/>
    <cellStyle name="40% - Accent6" xfId="2368" builtinId="51" customBuiltin="1"/>
    <cellStyle name="40% - Accent6 2" xfId="2369"/>
    <cellStyle name="40% - Accent6 2 2" xfId="2370"/>
    <cellStyle name="40% - Accent6 2 2 2" xfId="2371"/>
    <cellStyle name="40% - Accent6 2 3" xfId="2372"/>
    <cellStyle name="40% - Accent6 2_2009 GRC Compl Filing - Exhibit D" xfId="2373"/>
    <cellStyle name="40% - Accent6 3" xfId="2374"/>
    <cellStyle name="40% - Accent6 3 2" xfId="2375"/>
    <cellStyle name="40% - Accent6 3 3" xfId="3431"/>
    <cellStyle name="40% - Accent6 4" xfId="2376"/>
    <cellStyle name="40% - Accent6 4 2" xfId="4330"/>
    <cellStyle name="40% - Accent6 4 2 2" xfId="4331"/>
    <cellStyle name="40% - Accent6 4 2 3" xfId="4332"/>
    <cellStyle name="40% - Accent6 4 2 4" xfId="7281"/>
    <cellStyle name="40% - Accent6 4 3" xfId="4333"/>
    <cellStyle name="40% - Accent6 4 3 2" xfId="4334"/>
    <cellStyle name="40% - Accent6 4 4" xfId="4335"/>
    <cellStyle name="40% - Accent6 4 5" xfId="4336"/>
    <cellStyle name="40% - Accent6 4 6" xfId="7282"/>
    <cellStyle name="40% - Accent6 4 7" xfId="7283"/>
    <cellStyle name="40% - Accent6 5" xfId="3138"/>
    <cellStyle name="60% - Accent1" xfId="2377" builtinId="32" customBuiltin="1"/>
    <cellStyle name="60% - Accent1 2" xfId="2378"/>
    <cellStyle name="60% - Accent1 2 2" xfId="2379"/>
    <cellStyle name="60% - Accent1 2 3" xfId="3432"/>
    <cellStyle name="60% - Accent1 3" xfId="2380"/>
    <cellStyle name="60% - Accent1 3 2" xfId="4337"/>
    <cellStyle name="60% - Accent1 3 3" xfId="7284"/>
    <cellStyle name="60% - Accent1 3 4" xfId="7285"/>
    <cellStyle name="60% - Accent2" xfId="2381" builtinId="36" customBuiltin="1"/>
    <cellStyle name="60% - Accent2 2" xfId="2382"/>
    <cellStyle name="60% - Accent2 2 2" xfId="2383"/>
    <cellStyle name="60% - Accent2 2 3" xfId="3433"/>
    <cellStyle name="60% - Accent2 3" xfId="2384"/>
    <cellStyle name="60% - Accent2 3 2" xfId="4338"/>
    <cellStyle name="60% - Accent2 3 3" xfId="7286"/>
    <cellStyle name="60% - Accent2 3 4" xfId="7287"/>
    <cellStyle name="60% - Accent3" xfId="2385" builtinId="40" customBuiltin="1"/>
    <cellStyle name="60% - Accent3 2" xfId="2386"/>
    <cellStyle name="60% - Accent3 2 2" xfId="2387"/>
    <cellStyle name="60% - Accent3 2 3" xfId="3434"/>
    <cellStyle name="60% - Accent3 3" xfId="2388"/>
    <cellStyle name="60% - Accent3 3 2" xfId="4339"/>
    <cellStyle name="60% - Accent3 3 3" xfId="7288"/>
    <cellStyle name="60% - Accent3 3 4" xfId="7289"/>
    <cellStyle name="60% - Accent4" xfId="2389" builtinId="44" customBuiltin="1"/>
    <cellStyle name="60% - Accent4 2" xfId="2390"/>
    <cellStyle name="60% - Accent4 2 2" xfId="2391"/>
    <cellStyle name="60% - Accent4 2 3" xfId="3435"/>
    <cellStyle name="60% - Accent4 3" xfId="2392"/>
    <cellStyle name="60% - Accent4 3 2" xfId="4340"/>
    <cellStyle name="60% - Accent4 3 3" xfId="7290"/>
    <cellStyle name="60% - Accent4 3 4" xfId="7291"/>
    <cellStyle name="60% - Accent5" xfId="2393" builtinId="48" customBuiltin="1"/>
    <cellStyle name="60% - Accent5 2" xfId="2394"/>
    <cellStyle name="60% - Accent5 2 2" xfId="2395"/>
    <cellStyle name="60% - Accent5 2 3" xfId="3436"/>
    <cellStyle name="60% - Accent5 3" xfId="2396"/>
    <cellStyle name="60% - Accent5 3 2" xfId="4341"/>
    <cellStyle name="60% - Accent5 3 3" xfId="7292"/>
    <cellStyle name="60% - Accent5 3 4" xfId="7293"/>
    <cellStyle name="60% - Accent6" xfId="2397" builtinId="52" customBuiltin="1"/>
    <cellStyle name="60% - Accent6 2" xfId="2398"/>
    <cellStyle name="60% - Accent6 2 2" xfId="2399"/>
    <cellStyle name="60% - Accent6 2 3" xfId="3437"/>
    <cellStyle name="60% - Accent6 3" xfId="2400"/>
    <cellStyle name="60% - Accent6 3 2" xfId="4342"/>
    <cellStyle name="60% - Accent6 3 3" xfId="7294"/>
    <cellStyle name="60% - Accent6 3 4" xfId="7295"/>
    <cellStyle name="Accent1" xfId="2401" builtinId="29" customBuiltin="1"/>
    <cellStyle name="Accent1 - 20%" xfId="2402"/>
    <cellStyle name="Accent1 - 40%" xfId="2403"/>
    <cellStyle name="Accent1 - 60%" xfId="2404"/>
    <cellStyle name="Accent1 2" xfId="2405"/>
    <cellStyle name="Accent1 2 2" xfId="2406"/>
    <cellStyle name="Accent1 2 3" xfId="3438"/>
    <cellStyle name="Accent1 3" xfId="2407"/>
    <cellStyle name="Accent1 3 2" xfId="4343"/>
    <cellStyle name="Accent1 3 3" xfId="7296"/>
    <cellStyle name="Accent1 3 4" xfId="7297"/>
    <cellStyle name="Accent1 4" xfId="4344"/>
    <cellStyle name="Accent1 4 2" xfId="4345"/>
    <cellStyle name="Accent1 4 3" xfId="7298"/>
    <cellStyle name="Accent1 5" xfId="4346"/>
    <cellStyle name="Accent1 6" xfId="4347"/>
    <cellStyle name="Accent1 7" xfId="4348"/>
    <cellStyle name="Accent1 8" xfId="4349"/>
    <cellStyle name="Accent1 9" xfId="4350"/>
    <cellStyle name="Accent2" xfId="2408" builtinId="33" customBuiltin="1"/>
    <cellStyle name="Accent2 - 20%" xfId="2409"/>
    <cellStyle name="Accent2 - 40%" xfId="2410"/>
    <cellStyle name="Accent2 - 60%" xfId="2411"/>
    <cellStyle name="Accent2 2" xfId="2412"/>
    <cellStyle name="Accent2 2 2" xfId="2413"/>
    <cellStyle name="Accent2 2 3" xfId="3439"/>
    <cellStyle name="Accent2 3" xfId="2414"/>
    <cellStyle name="Accent2 3 2" xfId="4351"/>
    <cellStyle name="Accent2 3 3" xfId="7299"/>
    <cellStyle name="Accent2 3 4" xfId="7300"/>
    <cellStyle name="Accent2 4" xfId="4352"/>
    <cellStyle name="Accent2 4 2" xfId="4353"/>
    <cellStyle name="Accent2 4 3" xfId="7301"/>
    <cellStyle name="Accent2 5" xfId="4354"/>
    <cellStyle name="Accent2 6" xfId="4355"/>
    <cellStyle name="Accent2 7" xfId="4356"/>
    <cellStyle name="Accent2 8" xfId="4357"/>
    <cellStyle name="Accent2 9" xfId="4358"/>
    <cellStyle name="Accent3" xfId="2415" builtinId="37" customBuiltin="1"/>
    <cellStyle name="Accent3 - 20%" xfId="2416"/>
    <cellStyle name="Accent3 - 40%" xfId="2417"/>
    <cellStyle name="Accent3 - 60%" xfId="2418"/>
    <cellStyle name="Accent3 2" xfId="2419"/>
    <cellStyle name="Accent3 2 2" xfId="2420"/>
    <cellStyle name="Accent3 2 3" xfId="3440"/>
    <cellStyle name="Accent3 3" xfId="2421"/>
    <cellStyle name="Accent3 3 2" xfId="4359"/>
    <cellStyle name="Accent3 3 3" xfId="7302"/>
    <cellStyle name="Accent3 3 4" xfId="7303"/>
    <cellStyle name="Accent3 4" xfId="4360"/>
    <cellStyle name="Accent3 4 2" xfId="4361"/>
    <cellStyle name="Accent3 4 3" xfId="7304"/>
    <cellStyle name="Accent3 5" xfId="4362"/>
    <cellStyle name="Accent3 6" xfId="4363"/>
    <cellStyle name="Accent3 7" xfId="4364"/>
    <cellStyle name="Accent3 8" xfId="4365"/>
    <cellStyle name="Accent3 9" xfId="4366"/>
    <cellStyle name="Accent4" xfId="2422" builtinId="41" customBuiltin="1"/>
    <cellStyle name="Accent4 - 20%" xfId="2423"/>
    <cellStyle name="Accent4 - 40%" xfId="2424"/>
    <cellStyle name="Accent4 - 60%" xfId="2425"/>
    <cellStyle name="Accent4 2" xfId="2426"/>
    <cellStyle name="Accent4 2 2" xfId="2427"/>
    <cellStyle name="Accent4 2 3" xfId="3441"/>
    <cellStyle name="Accent4 3" xfId="2428"/>
    <cellStyle name="Accent4 3 2" xfId="4367"/>
    <cellStyle name="Accent4 3 3" xfId="7305"/>
    <cellStyle name="Accent4 3 4" xfId="7306"/>
    <cellStyle name="Accent4 4" xfId="4368"/>
    <cellStyle name="Accent4 4 2" xfId="4369"/>
    <cellStyle name="Accent4 4 3" xfId="7307"/>
    <cellStyle name="Accent4 5" xfId="4370"/>
    <cellStyle name="Accent4 6" xfId="4371"/>
    <cellStyle name="Accent4 7" xfId="4372"/>
    <cellStyle name="Accent4 8" xfId="4373"/>
    <cellStyle name="Accent4 9" xfId="4374"/>
    <cellStyle name="Accent5" xfId="2429" builtinId="45" customBuiltin="1"/>
    <cellStyle name="Accent5 - 20%" xfId="2430"/>
    <cellStyle name="Accent5 - 40%" xfId="2431"/>
    <cellStyle name="Accent5 - 60%" xfId="2432"/>
    <cellStyle name="Accent5 10" xfId="4375"/>
    <cellStyle name="Accent5 11" xfId="4376"/>
    <cellStyle name="Accent5 12" xfId="4377"/>
    <cellStyle name="Accent5 13" xfId="4378"/>
    <cellStyle name="Accent5 14" xfId="4379"/>
    <cellStyle name="Accent5 15" xfId="4380"/>
    <cellStyle name="Accent5 16" xfId="4381"/>
    <cellStyle name="Accent5 17" xfId="4382"/>
    <cellStyle name="Accent5 18" xfId="4383"/>
    <cellStyle name="Accent5 19" xfId="4384"/>
    <cellStyle name="Accent5 2" xfId="2433"/>
    <cellStyle name="Accent5 2 2" xfId="2434"/>
    <cellStyle name="Accent5 2 3" xfId="3442"/>
    <cellStyle name="Accent5 20" xfId="4385"/>
    <cellStyle name="Accent5 21" xfId="4386"/>
    <cellStyle name="Accent5 22" xfId="4387"/>
    <cellStyle name="Accent5 23" xfId="4388"/>
    <cellStyle name="Accent5 24" xfId="4389"/>
    <cellStyle name="Accent5 25" xfId="4390"/>
    <cellStyle name="Accent5 26" xfId="4391"/>
    <cellStyle name="Accent5 27" xfId="4392"/>
    <cellStyle name="Accent5 28" xfId="4393"/>
    <cellStyle name="Accent5 29" xfId="4394"/>
    <cellStyle name="Accent5 3" xfId="2435"/>
    <cellStyle name="Accent5 3 2" xfId="4395"/>
    <cellStyle name="Accent5 3 3" xfId="4396"/>
    <cellStyle name="Accent5 30" xfId="4397"/>
    <cellStyle name="Accent5 4" xfId="4398"/>
    <cellStyle name="Accent5 5" xfId="4399"/>
    <cellStyle name="Accent5 6" xfId="4400"/>
    <cellStyle name="Accent5 7" xfId="4401"/>
    <cellStyle name="Accent5 8" xfId="4402"/>
    <cellStyle name="Accent5 9" xfId="4403"/>
    <cellStyle name="Accent6" xfId="2436" builtinId="49" customBuiltin="1"/>
    <cellStyle name="Accent6 - 20%" xfId="2437"/>
    <cellStyle name="Accent6 - 40%" xfId="2438"/>
    <cellStyle name="Accent6 - 60%" xfId="2439"/>
    <cellStyle name="Accent6 2" xfId="2440"/>
    <cellStyle name="Accent6 2 2" xfId="2441"/>
    <cellStyle name="Accent6 2 3" xfId="3443"/>
    <cellStyle name="Accent6 3" xfId="2442"/>
    <cellStyle name="Accent6 3 2" xfId="4404"/>
    <cellStyle name="Accent6 3 3" xfId="7308"/>
    <cellStyle name="Accent6 3 4" xfId="7309"/>
    <cellStyle name="Accent6 4" xfId="4405"/>
    <cellStyle name="Accent6 4 2" xfId="4406"/>
    <cellStyle name="Accent6 4 3" xfId="7310"/>
    <cellStyle name="Accent6 5" xfId="4407"/>
    <cellStyle name="Accent6 6" xfId="4408"/>
    <cellStyle name="Accent6 7" xfId="4409"/>
    <cellStyle name="Accent6 8" xfId="4410"/>
    <cellStyle name="Accent6 9" xfId="4411"/>
    <cellStyle name="Bad" xfId="2443" builtinId="27" customBuiltin="1"/>
    <cellStyle name="Bad 2" xfId="2444"/>
    <cellStyle name="Bad 2 2" xfId="2445"/>
    <cellStyle name="Bad 2 3" xfId="3444"/>
    <cellStyle name="Bad 3" xfId="2446"/>
    <cellStyle name="Bad 3 2" xfId="4412"/>
    <cellStyle name="Bad 3 3" xfId="7311"/>
    <cellStyle name="Bad 3 4" xfId="7312"/>
    <cellStyle name="Calc Currency (0)" xfId="2447"/>
    <cellStyle name="Calc Currency (0) 2" xfId="2448"/>
    <cellStyle name="Calc Currency (0) 2 2" xfId="3445"/>
    <cellStyle name="Calc Currency (0) 3" xfId="3076"/>
    <cellStyle name="Calculation" xfId="2449" builtinId="22" customBuiltin="1"/>
    <cellStyle name="Calculation 2" xfId="2450"/>
    <cellStyle name="Calculation 2 2" xfId="2451"/>
    <cellStyle name="Calculation 2 2 2" xfId="3139"/>
    <cellStyle name="Calculation 2 3" xfId="2452"/>
    <cellStyle name="Calculation 2 3 2" xfId="4413"/>
    <cellStyle name="Calculation 2 3 3" xfId="7313"/>
    <cellStyle name="Calculation 2 3 4" xfId="7314"/>
    <cellStyle name="Calculation 2 4" xfId="4414"/>
    <cellStyle name="Calculation 2 4 2" xfId="7315"/>
    <cellStyle name="Calculation 2 5" xfId="7316"/>
    <cellStyle name="Calculation 3" xfId="2453"/>
    <cellStyle name="Calculation 3 2" xfId="3446"/>
    <cellStyle name="Calculation 3 3" xfId="7317"/>
    <cellStyle name="Calculation 3 4" xfId="7318"/>
    <cellStyle name="Calculation 4" xfId="2454"/>
    <cellStyle name="Calculation 4 2" xfId="4415"/>
    <cellStyle name="Calculation 4 2 2" xfId="7319"/>
    <cellStyle name="Calculation 4 3" xfId="4416"/>
    <cellStyle name="Calculation 4 3 2" xfId="7320"/>
    <cellStyle name="Calculation 4 4" xfId="4417"/>
    <cellStyle name="Calculation 4 4 2" xfId="7321"/>
    <cellStyle name="Calculation 5" xfId="2455"/>
    <cellStyle name="Calculation 5 2" xfId="3447"/>
    <cellStyle name="Calculation 6" xfId="7322"/>
    <cellStyle name="Check Cell" xfId="2456" builtinId="23" customBuiltin="1"/>
    <cellStyle name="Check Cell 2" xfId="2457"/>
    <cellStyle name="Check Cell 2 2" xfId="2458"/>
    <cellStyle name="Check Cell 2 2 2" xfId="3140"/>
    <cellStyle name="Check Cell 2 3" xfId="3448"/>
    <cellStyle name="Check Cell 3" xfId="2459"/>
    <cellStyle name="CheckCell" xfId="2460"/>
    <cellStyle name="CheckCell 2" xfId="2461"/>
    <cellStyle name="CheckCell 2 2" xfId="2462"/>
    <cellStyle name="CheckCell 3" xfId="2463"/>
    <cellStyle name="CheckCell_Electric Rev Req Model (2009 GRC) Rebuttal" xfId="3077"/>
    <cellStyle name="Comma" xfId="2464" builtinId="3"/>
    <cellStyle name="Comma 10" xfId="2465"/>
    <cellStyle name="Comma 10 2" xfId="2466"/>
    <cellStyle name="Comma 10 2 2" xfId="7323"/>
    <cellStyle name="Comma 10 3" xfId="7324"/>
    <cellStyle name="Comma 11" xfId="2467"/>
    <cellStyle name="Comma 11 2" xfId="4418"/>
    <cellStyle name="Comma 11 2 2" xfId="7325"/>
    <cellStyle name="Comma 11 3" xfId="7326"/>
    <cellStyle name="Comma 12" xfId="2468"/>
    <cellStyle name="Comma 12 2" xfId="2469"/>
    <cellStyle name="Comma 12 2 2" xfId="7327"/>
    <cellStyle name="Comma 12 3" xfId="7328"/>
    <cellStyle name="Comma 13" xfId="2470"/>
    <cellStyle name="Comma 13 2" xfId="2471"/>
    <cellStyle name="Comma 13 2 2" xfId="7329"/>
    <cellStyle name="Comma 13 3" xfId="7330"/>
    <cellStyle name="Comma 14" xfId="2472"/>
    <cellStyle name="Comma 14 2" xfId="2473"/>
    <cellStyle name="Comma 14 2 2" xfId="7331"/>
    <cellStyle name="Comma 14 3" xfId="7332"/>
    <cellStyle name="Comma 15" xfId="2474"/>
    <cellStyle name="Comma 15 2" xfId="3141"/>
    <cellStyle name="Comma 16" xfId="2475"/>
    <cellStyle name="Comma 16 2" xfId="2476"/>
    <cellStyle name="Comma 17" xfId="2477"/>
    <cellStyle name="Comma 17 2" xfId="2478"/>
    <cellStyle name="Comma 17 2 2" xfId="7333"/>
    <cellStyle name="Comma 17 3" xfId="4419"/>
    <cellStyle name="Comma 17 3 2" xfId="7334"/>
    <cellStyle name="Comma 17 4" xfId="4420"/>
    <cellStyle name="Comma 17 4 2" xfId="7335"/>
    <cellStyle name="Comma 18" xfId="2479"/>
    <cellStyle name="Comma 18 2" xfId="2480"/>
    <cellStyle name="Comma 18 3" xfId="4421"/>
    <cellStyle name="Comma 18 4" xfId="4422"/>
    <cellStyle name="Comma 19" xfId="2481"/>
    <cellStyle name="Comma 2" xfId="2482"/>
    <cellStyle name="Comma 2 2" xfId="2483"/>
    <cellStyle name="Comma 2 2 2" xfId="2484"/>
    <cellStyle name="Comma 2 2 2 2" xfId="7336"/>
    <cellStyle name="Comma 2 2 3" xfId="7337"/>
    <cellStyle name="Comma 2 3" xfId="2485"/>
    <cellStyle name="Comma 2 3 2" xfId="7338"/>
    <cellStyle name="Comma 2 4" xfId="2486"/>
    <cellStyle name="Comma 2 5" xfId="2487"/>
    <cellStyle name="Comma 2 6" xfId="2488"/>
    <cellStyle name="Comma 2 7" xfId="2489"/>
    <cellStyle name="Comma 2 8" xfId="2490"/>
    <cellStyle name="Comma 2_DEM-WP(C) Costs Not In AURORA 2010GRC As Filed" xfId="2491"/>
    <cellStyle name="Comma 20" xfId="3234"/>
    <cellStyle name="Comma 20 2" xfId="7339"/>
    <cellStyle name="Comma 21" xfId="7340"/>
    <cellStyle name="Comma 26" xfId="2492"/>
    <cellStyle name="Comma 27" xfId="2493"/>
    <cellStyle name="Comma 28" xfId="2494"/>
    <cellStyle name="Comma 3" xfId="2495"/>
    <cellStyle name="Comma 3 2" xfId="2496"/>
    <cellStyle name="Comma 3 2 2" xfId="4423"/>
    <cellStyle name="Comma 3 2 2 2" xfId="7341"/>
    <cellStyle name="Comma 3 2 3" xfId="7342"/>
    <cellStyle name="Comma 3 3" xfId="4424"/>
    <cellStyle name="Comma 3 3 2" xfId="7343"/>
    <cellStyle name="Comma 3 4" xfId="4425"/>
    <cellStyle name="Comma 3 4 2" xfId="7344"/>
    <cellStyle name="Comma 3 5" xfId="7345"/>
    <cellStyle name="Comma 4" xfId="3078"/>
    <cellStyle name="Comma 4 2" xfId="2497"/>
    <cellStyle name="Comma 4 2 2" xfId="2498"/>
    <cellStyle name="Comma 4 3" xfId="2499"/>
    <cellStyle name="Comma 4 3 2" xfId="7346"/>
    <cellStyle name="Comma 4 4" xfId="7347"/>
    <cellStyle name="Comma 5" xfId="3079"/>
    <cellStyle name="Comma 5 2" xfId="2500"/>
    <cellStyle name="Comma 5 2 2" xfId="7348"/>
    <cellStyle name="Comma 5 3" xfId="7349"/>
    <cellStyle name="Comma 6" xfId="3080"/>
    <cellStyle name="Comma 6 2" xfId="2501"/>
    <cellStyle name="Comma 6 2 2" xfId="4426"/>
    <cellStyle name="Comma 6 2 2 2" xfId="7350"/>
    <cellStyle name="Comma 6 2 3" xfId="7351"/>
    <cellStyle name="Comma 7" xfId="2502"/>
    <cellStyle name="Comma 7 2" xfId="2503"/>
    <cellStyle name="Comma 7 2 2" xfId="7352"/>
    <cellStyle name="Comma 7 3" xfId="7353"/>
    <cellStyle name="Comma 8" xfId="2504"/>
    <cellStyle name="Comma 8 2" xfId="2505"/>
    <cellStyle name="Comma 8 2 2" xfId="4427"/>
    <cellStyle name="Comma 8 2 2 2" xfId="7354"/>
    <cellStyle name="Comma 8 2 3" xfId="7355"/>
    <cellStyle name="Comma 8 3" xfId="4428"/>
    <cellStyle name="Comma 8 3 2" xfId="7356"/>
    <cellStyle name="Comma 8 4" xfId="7357"/>
    <cellStyle name="Comma 9" xfId="2506"/>
    <cellStyle name="Comma 9 2" xfId="2507"/>
    <cellStyle name="Comma 9 2 2" xfId="4429"/>
    <cellStyle name="Comma 9 2 2 2" xfId="7358"/>
    <cellStyle name="Comma 9 2 3" xfId="7359"/>
    <cellStyle name="Comma 9 3" xfId="4430"/>
    <cellStyle name="Comma 9 3 2" xfId="4431"/>
    <cellStyle name="Comma 9 3 3" xfId="7360"/>
    <cellStyle name="Comma 9 3 4" xfId="7361"/>
    <cellStyle name="Comma 9 4" xfId="4432"/>
    <cellStyle name="Comma 9 4 2" xfId="7362"/>
    <cellStyle name="Comma 9 5" xfId="4433"/>
    <cellStyle name="Comma 9 5 2" xfId="7363"/>
    <cellStyle name="Comma 9 6" xfId="4434"/>
    <cellStyle name="Comma 9 7" xfId="7364"/>
    <cellStyle name="Comma 9 8" xfId="7365"/>
    <cellStyle name="Comma_2.03E Power Costs 60 w-yrs DRAFT 02.13.04" xfId="2508"/>
    <cellStyle name="Comma_2003 Elect Master AMA PCORC TY 0603 RY 0305" xfId="2509"/>
    <cellStyle name="Comma_4.05 Exhibit A-2 " xfId="3040"/>
    <cellStyle name="Comma_Book2" xfId="3041"/>
    <cellStyle name="Comma_Book5" xfId="2510"/>
    <cellStyle name="Comma_CopyOfBook6" xfId="2511"/>
    <cellStyle name="Comma_PCA Adj Agrmt Exhibit A3" xfId="2512"/>
    <cellStyle name="Comma_Production Adjustment GRC TY0903 RY0206" xfId="2513"/>
    <cellStyle name="Comma_Property Insurance" xfId="2514"/>
    <cellStyle name="Comma_Transmission Revenue GRC TY 0903 RY 0206 Request1" xfId="2515"/>
    <cellStyle name="Comma_W wo Wild Horse" xfId="2516"/>
    <cellStyle name="Comma0" xfId="2517"/>
    <cellStyle name="Comma0 - Style2" xfId="2518"/>
    <cellStyle name="Comma0 - Style4" xfId="2519"/>
    <cellStyle name="Comma0 - Style5" xfId="2520"/>
    <cellStyle name="Comma0 - Style5 2" xfId="3081"/>
    <cellStyle name="Comma0 - Style5_Electric Rev Req Model (2009 GRC) Rebuttal" xfId="3082"/>
    <cellStyle name="Comma0 10" xfId="4435"/>
    <cellStyle name="Comma0 11" xfId="4436"/>
    <cellStyle name="Comma0 2" xfId="2521"/>
    <cellStyle name="Comma0 3" xfId="2522"/>
    <cellStyle name="Comma0 4" xfId="2523"/>
    <cellStyle name="Comma0 5" xfId="2524"/>
    <cellStyle name="Comma0 5 2" xfId="3449"/>
    <cellStyle name="Comma0 6" xfId="4437"/>
    <cellStyle name="Comma0 7" xfId="4438"/>
    <cellStyle name="Comma0 8" xfId="4439"/>
    <cellStyle name="Comma0 9" xfId="4440"/>
    <cellStyle name="Comma0_00COS Ind Allocators" xfId="2525"/>
    <cellStyle name="Comma1 - Style1" xfId="2526"/>
    <cellStyle name="Comma1 - Style1 2" xfId="3083"/>
    <cellStyle name="Comma1 - Style1_Electric Rev Req Model (2009 GRC) Rebuttal" xfId="3084"/>
    <cellStyle name="Copied" xfId="2527"/>
    <cellStyle name="Copied 2" xfId="2528"/>
    <cellStyle name="Copied 2 2" xfId="3450"/>
    <cellStyle name="Copied 3" xfId="3085"/>
    <cellStyle name="COST1" xfId="2529"/>
    <cellStyle name="COST1 2" xfId="2530"/>
    <cellStyle name="COST1 2 2" xfId="3451"/>
    <cellStyle name="COST1 3" xfId="3086"/>
    <cellStyle name="Curren - Style1" xfId="2531"/>
    <cellStyle name="Curren - Style2" xfId="2532"/>
    <cellStyle name="Curren - Style2 2" xfId="3087"/>
    <cellStyle name="Curren - Style2_Electric Rev Req Model (2009 GRC) Rebuttal" xfId="3088"/>
    <cellStyle name="Curren - Style5" xfId="2533"/>
    <cellStyle name="Curren - Style6" xfId="2534"/>
    <cellStyle name="Curren - Style6 2" xfId="3089"/>
    <cellStyle name="Curren - Style6_Electric Rev Req Model (2009 GRC) Rebuttal" xfId="3090"/>
    <cellStyle name="Currency" xfId="2535" builtinId="4"/>
    <cellStyle name="Currency 10" xfId="2536"/>
    <cellStyle name="Currency 10 2" xfId="4441"/>
    <cellStyle name="Currency 10 2 2" xfId="7366"/>
    <cellStyle name="Currency 10 3" xfId="7367"/>
    <cellStyle name="Currency 11" xfId="2537"/>
    <cellStyle name="Currency 11 2" xfId="2538"/>
    <cellStyle name="Currency 11 2 2" xfId="7368"/>
    <cellStyle name="Currency 11 3" xfId="7369"/>
    <cellStyle name="Currency 12" xfId="2539"/>
    <cellStyle name="Currency 12 2" xfId="2540"/>
    <cellStyle name="Currency 12 3" xfId="2541"/>
    <cellStyle name="Currency 12 4" xfId="2542"/>
    <cellStyle name="Currency 12 5" xfId="3142"/>
    <cellStyle name="Currency 13" xfId="2543"/>
    <cellStyle name="Currency 13 2" xfId="2544"/>
    <cellStyle name="Currency 14" xfId="4442"/>
    <cellStyle name="Currency 14 2" xfId="4443"/>
    <cellStyle name="Currency 14 2 2" xfId="7370"/>
    <cellStyle name="Currency 14 3" xfId="4444"/>
    <cellStyle name="Currency 14 3 2" xfId="7371"/>
    <cellStyle name="Currency 14 4" xfId="4445"/>
    <cellStyle name="Currency 14 4 2" xfId="7372"/>
    <cellStyle name="Currency 15" xfId="4446"/>
    <cellStyle name="Currency 15 2" xfId="4447"/>
    <cellStyle name="Currency 15 3" xfId="7373"/>
    <cellStyle name="Currency 15 4" xfId="7374"/>
    <cellStyle name="Currency 16" xfId="4448"/>
    <cellStyle name="Currency 17" xfId="4449"/>
    <cellStyle name="Currency 18" xfId="4450"/>
    <cellStyle name="Currency 18 2" xfId="7375"/>
    <cellStyle name="Currency 19" xfId="7376"/>
    <cellStyle name="Currency 2" xfId="2545"/>
    <cellStyle name="Currency 2 2" xfId="2546"/>
    <cellStyle name="Currency 2 2 2" xfId="2547"/>
    <cellStyle name="Currency 2 2 2 2" xfId="7377"/>
    <cellStyle name="Currency 2 2 3" xfId="7378"/>
    <cellStyle name="Currency 2 3" xfId="2548"/>
    <cellStyle name="Currency 2 3 2" xfId="7379"/>
    <cellStyle name="Currency 2 4" xfId="2549"/>
    <cellStyle name="Currency 2 5" xfId="2550"/>
    <cellStyle name="Currency 2 6" xfId="2551"/>
    <cellStyle name="Currency 2 7" xfId="2552"/>
    <cellStyle name="Currency 2 8" xfId="2553"/>
    <cellStyle name="Currency 20" xfId="7380"/>
    <cellStyle name="Currency 3" xfId="2554"/>
    <cellStyle name="Currency 3 2" xfId="2555"/>
    <cellStyle name="Currency 3 2 2" xfId="4451"/>
    <cellStyle name="Currency 3 2 2 2" xfId="7381"/>
    <cellStyle name="Currency 3 2 3" xfId="7382"/>
    <cellStyle name="Currency 3 3" xfId="4452"/>
    <cellStyle name="Currency 3 3 2" xfId="7383"/>
    <cellStyle name="Currency 3 4" xfId="7384"/>
    <cellStyle name="Currency 4" xfId="3143"/>
    <cellStyle name="Currency 4 2" xfId="2556"/>
    <cellStyle name="Currency 4 2 2" xfId="2557"/>
    <cellStyle name="Currency 4 2 2 2" xfId="7385"/>
    <cellStyle name="Currency 4 2 3" xfId="7386"/>
    <cellStyle name="Currency 4 3" xfId="4453"/>
    <cellStyle name="Currency 4 3 2" xfId="4454"/>
    <cellStyle name="Currency 4 3 2 2" xfId="7387"/>
    <cellStyle name="Currency 4 3 3" xfId="4455"/>
    <cellStyle name="Currency 4 3 3 2" xfId="7388"/>
    <cellStyle name="Currency 4 3 4" xfId="4456"/>
    <cellStyle name="Currency 4 3 4 2" xfId="7389"/>
    <cellStyle name="Currency 4 4" xfId="4457"/>
    <cellStyle name="Currency 4 4 2" xfId="7390"/>
    <cellStyle name="Currency 4 5" xfId="7391"/>
    <cellStyle name="Currency 4_DEM-WP(C) Costs Not In AURORA 2010GRC As Filed" xfId="3452"/>
    <cellStyle name="Currency 5" xfId="3091"/>
    <cellStyle name="Currency 5 2" xfId="2558"/>
    <cellStyle name="Currency 5 2 2" xfId="7392"/>
    <cellStyle name="Currency 5 3" xfId="7393"/>
    <cellStyle name="Currency 6" xfId="3092"/>
    <cellStyle name="Currency 6 2" xfId="2559"/>
    <cellStyle name="Currency 6 2 2" xfId="7394"/>
    <cellStyle name="Currency 6 3" xfId="7395"/>
    <cellStyle name="Currency 7" xfId="2560"/>
    <cellStyle name="Currency 7 2" xfId="2561"/>
    <cellStyle name="Currency 7 2 2" xfId="7396"/>
    <cellStyle name="Currency 7 3" xfId="7397"/>
    <cellStyle name="Currency 8" xfId="2562"/>
    <cellStyle name="Currency 8 2" xfId="2563"/>
    <cellStyle name="Currency 8 2 2" xfId="4458"/>
    <cellStyle name="Currency 8 2 2 2" xfId="4459"/>
    <cellStyle name="Currency 8 2 2 3" xfId="7398"/>
    <cellStyle name="Currency 8 2 2 4" xfId="7399"/>
    <cellStyle name="Currency 8 2 3" xfId="4460"/>
    <cellStyle name="Currency 8 2 3 2" xfId="7400"/>
    <cellStyle name="Currency 8 2 4" xfId="4461"/>
    <cellStyle name="Currency 8 2 5" xfId="7401"/>
    <cellStyle name="Currency 8 2 6" xfId="7402"/>
    <cellStyle name="Currency 8 3" xfId="4462"/>
    <cellStyle name="Currency 8 3 2" xfId="7403"/>
    <cellStyle name="Currency 8 4" xfId="4463"/>
    <cellStyle name="Currency 8 4 2" xfId="7404"/>
    <cellStyle name="Currency 8 5" xfId="7405"/>
    <cellStyle name="Currency 9" xfId="2564"/>
    <cellStyle name="Currency 9 2" xfId="2565"/>
    <cellStyle name="Currency 9 2 2" xfId="4464"/>
    <cellStyle name="Currency 9 2 2 2" xfId="7406"/>
    <cellStyle name="Currency 9 2 3" xfId="7407"/>
    <cellStyle name="Currency 9 3" xfId="4465"/>
    <cellStyle name="Currency 9 3 2" xfId="4466"/>
    <cellStyle name="Currency 9 3 3" xfId="7408"/>
    <cellStyle name="Currency 9 3 4" xfId="7409"/>
    <cellStyle name="Currency 9 4" xfId="4467"/>
    <cellStyle name="Currency 9 4 2" xfId="7410"/>
    <cellStyle name="Currency 9 5" xfId="4468"/>
    <cellStyle name="Currency 9 5 2" xfId="7411"/>
    <cellStyle name="Currency 9 6" xfId="4469"/>
    <cellStyle name="Currency 9 7" xfId="7412"/>
    <cellStyle name="Currency 9 8" xfId="7413"/>
    <cellStyle name="Currency_2.03E Power Costs 60 w-yrs DRAFT 02.13.04" xfId="2566"/>
    <cellStyle name="Currency_2.26E Regulatory Assets &amp; Liabilities" xfId="2567"/>
    <cellStyle name="Currency_4.05 Exhibit A-2 " xfId="3039"/>
    <cellStyle name="Currency_Book2" xfId="3042"/>
    <cellStyle name="Currency_CopyOfBook6" xfId="2568"/>
    <cellStyle name="Currency_Production Adjustment GRC TY0903 RY0206" xfId="2569"/>
    <cellStyle name="Currency_Transmission Revenue GRC TY 0903 RY 0206 Request1" xfId="2570"/>
    <cellStyle name="Currency0" xfId="2571"/>
    <cellStyle name="Currency0 2" xfId="2572"/>
    <cellStyle name="Currency0 2 2" xfId="2573"/>
    <cellStyle name="Currency0 2 2 2" xfId="7414"/>
    <cellStyle name="Currency0 2 3" xfId="7415"/>
    <cellStyle name="Currency0 3" xfId="2574"/>
    <cellStyle name="Currency0 4" xfId="2575"/>
    <cellStyle name="Currency0 4 2" xfId="3453"/>
    <cellStyle name="Date" xfId="2576"/>
    <cellStyle name="Date 2" xfId="2577"/>
    <cellStyle name="Date 3" xfId="2578"/>
    <cellStyle name="Date 4" xfId="2579"/>
    <cellStyle name="Date 5" xfId="2580"/>
    <cellStyle name="Date 5 2" xfId="3454"/>
    <cellStyle name="Date_903 SAP 2-6-09" xfId="4470"/>
    <cellStyle name="Emphasis 1" xfId="2581"/>
    <cellStyle name="Emphasis 2" xfId="2582"/>
    <cellStyle name="Emphasis 3" xfId="2583"/>
    <cellStyle name="Entered" xfId="2584"/>
    <cellStyle name="Entered 2" xfId="2585"/>
    <cellStyle name="Entered 2 2" xfId="2586"/>
    <cellStyle name="Entered 2 2 2" xfId="7416"/>
    <cellStyle name="Entered 2 3" xfId="7417"/>
    <cellStyle name="Entered 3" xfId="2587"/>
    <cellStyle name="Entered 3 2" xfId="4471"/>
    <cellStyle name="Entered 3 2 2" xfId="7418"/>
    <cellStyle name="Entered 3 3" xfId="4472"/>
    <cellStyle name="Entered 3 3 2" xfId="7419"/>
    <cellStyle name="Entered 3 4" xfId="4473"/>
    <cellStyle name="Entered 3 4 2" xfId="7420"/>
    <cellStyle name="Entered 4" xfId="2588"/>
    <cellStyle name="Entered 4 2" xfId="3455"/>
    <cellStyle name="Entered 5" xfId="4474"/>
    <cellStyle name="Entered 5 2" xfId="7421"/>
    <cellStyle name="Entered 6" xfId="7422"/>
    <cellStyle name="Entered_AURORA Total New" xfId="2589"/>
    <cellStyle name="Euro" xfId="2590"/>
    <cellStyle name="Euro 2" xfId="2591"/>
    <cellStyle name="Euro 2 2" xfId="2592"/>
    <cellStyle name="Euro 2 2 2" xfId="7423"/>
    <cellStyle name="Euro 2 3" xfId="7424"/>
    <cellStyle name="Euro 3" xfId="2593"/>
    <cellStyle name="Euro 3 2" xfId="7425"/>
    <cellStyle name="Euro 4" xfId="7426"/>
    <cellStyle name="Explanatory Text" xfId="2594" builtinId="53" customBuiltin="1"/>
    <cellStyle name="Explanatory Text 2" xfId="2595"/>
    <cellStyle name="Explanatory Text 2 2" xfId="2596"/>
    <cellStyle name="Explanatory Text 2 3" xfId="3456"/>
    <cellStyle name="Explanatory Text 3" xfId="2597"/>
    <cellStyle name="Fixed" xfId="2598"/>
    <cellStyle name="Fixed 2" xfId="2599"/>
    <cellStyle name="Fixed 2 2" xfId="3457"/>
    <cellStyle name="Fixed 3" xfId="3093"/>
    <cellStyle name="Fixed 4" xfId="3094"/>
    <cellStyle name="Fixed3 - Style3" xfId="2600"/>
    <cellStyle name="Good" xfId="2601" builtinId="26" customBuiltin="1"/>
    <cellStyle name="Good 2" xfId="2602"/>
    <cellStyle name="Good 2 2" xfId="2603"/>
    <cellStyle name="Good 2 3" xfId="3458"/>
    <cellStyle name="Good 3" xfId="2604"/>
    <cellStyle name="Good 3 2" xfId="4475"/>
    <cellStyle name="Good 3 3" xfId="7427"/>
    <cellStyle name="Good 3 4" xfId="7428"/>
    <cellStyle name="Grey" xfId="2605"/>
    <cellStyle name="Grey 2" xfId="2606"/>
    <cellStyle name="Grey 2 2" xfId="3459"/>
    <cellStyle name="Grey 2 3" xfId="4476"/>
    <cellStyle name="Grey 3" xfId="2607"/>
    <cellStyle name="Grey 3 2" xfId="3460"/>
    <cellStyle name="Grey 3 3" xfId="4477"/>
    <cellStyle name="Grey 4" xfId="2608"/>
    <cellStyle name="Grey 4 2" xfId="4478"/>
    <cellStyle name="Grey 4 3" xfId="4479"/>
    <cellStyle name="Grey 5" xfId="2609"/>
    <cellStyle name="Grey 5 2" xfId="3461"/>
    <cellStyle name="Grey 6" xfId="3462"/>
    <cellStyle name="Grey_(C) WHE Proforma with ITC cash grant 10 Yr Amort_for deferral_102809" xfId="2610"/>
    <cellStyle name="Header1" xfId="2611"/>
    <cellStyle name="Header1 2" xfId="2612"/>
    <cellStyle name="Header1 3" xfId="2613"/>
    <cellStyle name="Header1 3 2" xfId="3463"/>
    <cellStyle name="Header1_AURORA Total New" xfId="2614"/>
    <cellStyle name="Header2" xfId="2615"/>
    <cellStyle name="Header2 2" xfId="2616"/>
    <cellStyle name="Header2 3" xfId="2617"/>
    <cellStyle name="Header2 3 2" xfId="3464"/>
    <cellStyle name="Header2 4" xfId="3144"/>
    <cellStyle name="Header2_AURORA Total New" xfId="2618"/>
    <cellStyle name="Heading 1" xfId="2619" builtinId="16" customBuiltin="1"/>
    <cellStyle name="Heading 1 2" xfId="2620"/>
    <cellStyle name="Heading 1 2 2" xfId="2621"/>
    <cellStyle name="Heading 1 2 3" xfId="3465"/>
    <cellStyle name="Heading 1 2 3 2" xfId="4480"/>
    <cellStyle name="Heading 1 2 3 3" xfId="7429"/>
    <cellStyle name="Heading 1 2 3 4" xfId="7430"/>
    <cellStyle name="Heading 1 3" xfId="2622"/>
    <cellStyle name="Heading 1 3 2" xfId="4481"/>
    <cellStyle name="Heading 1 3 3" xfId="7431"/>
    <cellStyle name="Heading 1 3 4" xfId="7432"/>
    <cellStyle name="Heading 1 4" xfId="2623"/>
    <cellStyle name="Heading 1 4 2" xfId="3466"/>
    <cellStyle name="Heading 2" xfId="2624" builtinId="17" customBuiltin="1"/>
    <cellStyle name="Heading 2 2" xfId="2625"/>
    <cellStyle name="Heading 2 2 2" xfId="2626"/>
    <cellStyle name="Heading 2 2 3" xfId="3467"/>
    <cellStyle name="Heading 2 2 3 2" xfId="4482"/>
    <cellStyle name="Heading 2 2 3 3" xfId="7433"/>
    <cellStyle name="Heading 2 2 3 4" xfId="7434"/>
    <cellStyle name="Heading 2 3" xfId="2627"/>
    <cellStyle name="Heading 2 3 2" xfId="4483"/>
    <cellStyle name="Heading 2 3 3" xfId="7435"/>
    <cellStyle name="Heading 2 3 4" xfId="7436"/>
    <cellStyle name="Heading 2 4" xfId="2628"/>
    <cellStyle name="Heading 2 4 2" xfId="3468"/>
    <cellStyle name="Heading 3" xfId="2629" builtinId="18" customBuiltin="1"/>
    <cellStyle name="Heading 3 2" xfId="2630"/>
    <cellStyle name="Heading 3 2 2" xfId="2631"/>
    <cellStyle name="Heading 3 2 3" xfId="3469"/>
    <cellStyle name="Heading 3 3" xfId="2632"/>
    <cellStyle name="Heading 3 3 2" xfId="4484"/>
    <cellStyle name="Heading 3 3 3" xfId="7437"/>
    <cellStyle name="Heading 3 3 4" xfId="7438"/>
    <cellStyle name="Heading 4" xfId="2633" builtinId="19" customBuiltin="1"/>
    <cellStyle name="Heading 4 2" xfId="2634"/>
    <cellStyle name="Heading 4 2 2" xfId="2635"/>
    <cellStyle name="Heading 4 2 3" xfId="3470"/>
    <cellStyle name="Heading 4 3" xfId="2636"/>
    <cellStyle name="Heading 4 3 2" xfId="4485"/>
    <cellStyle name="Heading 4 3 3" xfId="7439"/>
    <cellStyle name="Heading 4 3 4" xfId="7440"/>
    <cellStyle name="Heading1" xfId="2637"/>
    <cellStyle name="Heading1 2" xfId="2638"/>
    <cellStyle name="Heading1 3" xfId="2639"/>
    <cellStyle name="Heading1 3 2" xfId="3471"/>
    <cellStyle name="Heading2" xfId="2640"/>
    <cellStyle name="Heading2 2" xfId="2641"/>
    <cellStyle name="Heading2 3" xfId="2642"/>
    <cellStyle name="Heading2 3 2" xfId="3472"/>
    <cellStyle name="Hyperlink 2" xfId="2643"/>
    <cellStyle name="Hyperlink 3" xfId="7441"/>
    <cellStyle name="Input" xfId="2644" builtinId="20" customBuiltin="1"/>
    <cellStyle name="Input [yellow]" xfId="2645"/>
    <cellStyle name="Input [yellow] 2" xfId="2646"/>
    <cellStyle name="Input [yellow] 2 2" xfId="3146"/>
    <cellStyle name="Input [yellow] 2 3" xfId="4486"/>
    <cellStyle name="Input [yellow] 3" xfId="2647"/>
    <cellStyle name="Input [yellow] 3 2" xfId="3147"/>
    <cellStyle name="Input [yellow] 3 3" xfId="4487"/>
    <cellStyle name="Input [yellow] 4" xfId="2648"/>
    <cellStyle name="Input [yellow] 4 2" xfId="3148"/>
    <cellStyle name="Input [yellow] 4 3" xfId="4488"/>
    <cellStyle name="Input [yellow] 5" xfId="2649"/>
    <cellStyle name="Input [yellow] 5 2" xfId="3473"/>
    <cellStyle name="Input [yellow] 6" xfId="3145"/>
    <cellStyle name="Input [yellow]_(C) WHE Proforma with ITC cash grant 10 Yr Amort_for deferral_102809" xfId="2650"/>
    <cellStyle name="Input 10" xfId="2651"/>
    <cellStyle name="Input 11" xfId="2652"/>
    <cellStyle name="Input 12" xfId="2653"/>
    <cellStyle name="Input 13" xfId="2654"/>
    <cellStyle name="Input 14" xfId="2655"/>
    <cellStyle name="Input 15" xfId="2656"/>
    <cellStyle name="Input 16" xfId="2657"/>
    <cellStyle name="Input 17" xfId="2658"/>
    <cellStyle name="Input 2" xfId="2659"/>
    <cellStyle name="Input 2 2" xfId="2660"/>
    <cellStyle name="Input 2 2 2" xfId="3149"/>
    <cellStyle name="Input 2 3" xfId="3474"/>
    <cellStyle name="Input 3" xfId="2661"/>
    <cellStyle name="Input 3 2" xfId="3475"/>
    <cellStyle name="Input 3 3" xfId="7442"/>
    <cellStyle name="Input 3 4" xfId="7443"/>
    <cellStyle name="Input 4" xfId="2662"/>
    <cellStyle name="Input 4 2" xfId="4489"/>
    <cellStyle name="Input 4 3" xfId="7444"/>
    <cellStyle name="Input 5" xfId="2663"/>
    <cellStyle name="Input 6" xfId="2664"/>
    <cellStyle name="Input 7" xfId="2665"/>
    <cellStyle name="Input 8" xfId="2666"/>
    <cellStyle name="Input 9" xfId="2667"/>
    <cellStyle name="Input Cells" xfId="2668"/>
    <cellStyle name="Input Cells 2" xfId="2669"/>
    <cellStyle name="Input Cells Percent" xfId="2670"/>
    <cellStyle name="Input Cells Percent 2" xfId="2671"/>
    <cellStyle name="Input Cells Percent_AURORA Total New" xfId="2672"/>
    <cellStyle name="Input Cells_4.34E Mint Farm Deferral" xfId="2673"/>
    <cellStyle name="Lines" xfId="2674"/>
    <cellStyle name="Lines 2" xfId="2675"/>
    <cellStyle name="Lines 3" xfId="4490"/>
    <cellStyle name="Lines_Electric Rev Req Model (2009 GRC) Rebuttal" xfId="3095"/>
    <cellStyle name="LINKED" xfId="2676"/>
    <cellStyle name="LINKED 2" xfId="2677"/>
    <cellStyle name="LINKED 2 2" xfId="3476"/>
    <cellStyle name="Linked Cell" xfId="2678" builtinId="24" customBuiltin="1"/>
    <cellStyle name="Linked Cell 2" xfId="2679"/>
    <cellStyle name="Linked Cell 2 2" xfId="2680"/>
    <cellStyle name="Linked Cell 2 3" xfId="3477"/>
    <cellStyle name="Linked Cell 3" xfId="2681"/>
    <cellStyle name="Linked Cell 3 2" xfId="4491"/>
    <cellStyle name="Linked Cell 3 3" xfId="7445"/>
    <cellStyle name="Linked Cell 3 4" xfId="7446"/>
    <cellStyle name="modified border" xfId="2682"/>
    <cellStyle name="modified border 2" xfId="2683"/>
    <cellStyle name="modified border 3" xfId="2684"/>
    <cellStyle name="modified border 4" xfId="2685"/>
    <cellStyle name="modified border 5" xfId="2686"/>
    <cellStyle name="modified border 5 2" xfId="3478"/>
    <cellStyle name="modified border_4.34E Mint Farm Deferral" xfId="2687"/>
    <cellStyle name="modified border1" xfId="2688"/>
    <cellStyle name="modified border1 2" xfId="2689"/>
    <cellStyle name="modified border1 3" xfId="2690"/>
    <cellStyle name="modified border1 4" xfId="2691"/>
    <cellStyle name="modified border1 5" xfId="2692"/>
    <cellStyle name="modified border1 5 2" xfId="3479"/>
    <cellStyle name="modified border1_4.34E Mint Farm Deferral" xfId="2693"/>
    <cellStyle name="Neutral" xfId="2694" builtinId="28" customBuiltin="1"/>
    <cellStyle name="Neutral 2" xfId="2695"/>
    <cellStyle name="Neutral 2 2" xfId="2696"/>
    <cellStyle name="Neutral 2 3" xfId="3480"/>
    <cellStyle name="Neutral 3" xfId="2697"/>
    <cellStyle name="Neutral 3 2" xfId="4492"/>
    <cellStyle name="Neutral 3 3" xfId="7447"/>
    <cellStyle name="Neutral 3 4" xfId="7448"/>
    <cellStyle name="no dec" xfId="2698"/>
    <cellStyle name="no dec 2" xfId="2699"/>
    <cellStyle name="no dec 2 2" xfId="3481"/>
    <cellStyle name="no dec 3" xfId="3096"/>
    <cellStyle name="Normal" xfId="0" builtinId="0"/>
    <cellStyle name="Normal - Style1" xfId="2700"/>
    <cellStyle name="Normal - Style1 2" xfId="2701"/>
    <cellStyle name="Normal - Style1 2 2" xfId="2702"/>
    <cellStyle name="Normal - Style1 2 2 2" xfId="7449"/>
    <cellStyle name="Normal - Style1 2 3" xfId="3482"/>
    <cellStyle name="Normal - Style1 3" xfId="2703"/>
    <cellStyle name="Normal - Style1 3 2" xfId="2704"/>
    <cellStyle name="Normal - Style1 3 2 2" xfId="7450"/>
    <cellStyle name="Normal - Style1 3 3" xfId="3483"/>
    <cellStyle name="Normal - Style1 4" xfId="2705"/>
    <cellStyle name="Normal - Style1 4 2" xfId="2706"/>
    <cellStyle name="Normal - Style1 4 2 2" xfId="7451"/>
    <cellStyle name="Normal - Style1 4 3" xfId="7452"/>
    <cellStyle name="Normal - Style1 5" xfId="2707"/>
    <cellStyle name="Normal - Style1 5 2" xfId="2708"/>
    <cellStyle name="Normal - Style1 5 3" xfId="4493"/>
    <cellStyle name="Normal - Style1 6" xfId="3484"/>
    <cellStyle name="Normal - Style1 6 2" xfId="4494"/>
    <cellStyle name="Normal - Style1 6 2 2" xfId="7453"/>
    <cellStyle name="Normal - Style1 6 3" xfId="7454"/>
    <cellStyle name="Normal - Style1 6 4" xfId="7455"/>
    <cellStyle name="Normal - Style1_(C) WHE Proforma with ITC cash grant 10 Yr Amort_for deferral_102809" xfId="2709"/>
    <cellStyle name="Normal 1" xfId="2710"/>
    <cellStyle name="Normal 10" xfId="2711"/>
    <cellStyle name="Normal 10 2" xfId="2712"/>
    <cellStyle name="Normal 10 2 2" xfId="2713"/>
    <cellStyle name="Normal 10 2 2 2" xfId="7456"/>
    <cellStyle name="Normal 10 2 3" xfId="7457"/>
    <cellStyle name="Normal 10 3" xfId="2714"/>
    <cellStyle name="Normal 10 3 2" xfId="2715"/>
    <cellStyle name="Normal 10 3 2 2" xfId="7458"/>
    <cellStyle name="Normal 10 3 3" xfId="7459"/>
    <cellStyle name="Normal 10 4" xfId="2716"/>
    <cellStyle name="Normal 10 4 2" xfId="4495"/>
    <cellStyle name="Normal 10 4 2 2" xfId="7460"/>
    <cellStyle name="Normal 10 4 3" xfId="7461"/>
    <cellStyle name="Normal 10 5" xfId="3485"/>
    <cellStyle name="Normal 10 5 2" xfId="4496"/>
    <cellStyle name="Normal 10 5 3" xfId="4497"/>
    <cellStyle name="Normal 10 6" xfId="4498"/>
    <cellStyle name="Normal 10 6 2" xfId="4499"/>
    <cellStyle name="Normal 10 7" xfId="4500"/>
    <cellStyle name="Normal 10 8" xfId="4501"/>
    <cellStyle name="Normal 10_04.07E Wild Horse Wind Expansion" xfId="2717"/>
    <cellStyle name="Normal 100" xfId="7462"/>
    <cellStyle name="Normal 101" xfId="7463"/>
    <cellStyle name="Normal 102" xfId="7464"/>
    <cellStyle name="Normal 103" xfId="7465"/>
    <cellStyle name="Normal 104" xfId="7466"/>
    <cellStyle name="Normal 105" xfId="7467"/>
    <cellStyle name="Normal 106" xfId="7468"/>
    <cellStyle name="Normal 107" xfId="7469"/>
    <cellStyle name="Normal 108" xfId="7470"/>
    <cellStyle name="Normal 109" xfId="7471"/>
    <cellStyle name="Normal 11" xfId="2718"/>
    <cellStyle name="Normal 11 2" xfId="2719"/>
    <cellStyle name="Normal 11 2 2" xfId="4502"/>
    <cellStyle name="Normal 11 2 2 2" xfId="7472"/>
    <cellStyle name="Normal 11 2 3" xfId="7473"/>
    <cellStyle name="Normal 11 3" xfId="3486"/>
    <cellStyle name="Normal 11 3 2" xfId="4503"/>
    <cellStyle name="Normal 11 3 3" xfId="4504"/>
    <cellStyle name="Normal 11 4" xfId="4505"/>
    <cellStyle name="Normal 11 4 2" xfId="4506"/>
    <cellStyle name="Normal 11 5" xfId="4507"/>
    <cellStyle name="Normal 11 6" xfId="4508"/>
    <cellStyle name="Normal 11_16.37E Wild Horse Expansion DeferralRevwrkingfile SF" xfId="2720"/>
    <cellStyle name="Normal 110" xfId="7474"/>
    <cellStyle name="Normal 12" xfId="2721"/>
    <cellStyle name="Normal 12 2" xfId="2722"/>
    <cellStyle name="Normal 12 2 2" xfId="4509"/>
    <cellStyle name="Normal 12 2 2 2" xfId="7475"/>
    <cellStyle name="Normal 12 2 3" xfId="7476"/>
    <cellStyle name="Normal 12 3" xfId="3487"/>
    <cellStyle name="Normal 12 3 2" xfId="4510"/>
    <cellStyle name="Normal 12 3 3" xfId="4511"/>
    <cellStyle name="Normal 12 4" xfId="4512"/>
    <cellStyle name="Normal 12 4 2" xfId="4513"/>
    <cellStyle name="Normal 12 5" xfId="4514"/>
    <cellStyle name="Normal 12 6" xfId="4515"/>
    <cellStyle name="Normal 13" xfId="2723"/>
    <cellStyle name="Normal 13 2" xfId="3150"/>
    <cellStyle name="Normal 13 2 2" xfId="4516"/>
    <cellStyle name="Normal 13 2 2 2" xfId="7477"/>
    <cellStyle name="Normal 13 2 3" xfId="7478"/>
    <cellStyle name="Normal 13 3" xfId="4517"/>
    <cellStyle name="Normal 13 3 2" xfId="4518"/>
    <cellStyle name="Normal 13 3 3" xfId="4519"/>
    <cellStyle name="Normal 13 4" xfId="4520"/>
    <cellStyle name="Normal 13 4 2" xfId="4521"/>
    <cellStyle name="Normal 13 5" xfId="4522"/>
    <cellStyle name="Normal 13 6" xfId="4523"/>
    <cellStyle name="Normal 14" xfId="2724"/>
    <cellStyle name="Normal 14 2" xfId="3151"/>
    <cellStyle name="Normal 14 2 2" xfId="7479"/>
    <cellStyle name="Normal 14 3" xfId="7480"/>
    <cellStyle name="Normal 15" xfId="2725"/>
    <cellStyle name="Normal 15 2" xfId="3488"/>
    <cellStyle name="Normal 15 3" xfId="4524"/>
    <cellStyle name="Normal 15 3 2" xfId="4525"/>
    <cellStyle name="Normal 15 3 3" xfId="4526"/>
    <cellStyle name="Normal 15 4" xfId="4527"/>
    <cellStyle name="Normal 15 4 2" xfId="4528"/>
    <cellStyle name="Normal 15 5" xfId="4529"/>
    <cellStyle name="Normal 15 6" xfId="4530"/>
    <cellStyle name="Normal 16" xfId="2726"/>
    <cellStyle name="Normal 16 2" xfId="3489"/>
    <cellStyle name="Normal 16 3" xfId="4531"/>
    <cellStyle name="Normal 16 3 2" xfId="4532"/>
    <cellStyle name="Normal 16 3 3" xfId="4533"/>
    <cellStyle name="Normal 16 4" xfId="4534"/>
    <cellStyle name="Normal 16 4 2" xfId="4535"/>
    <cellStyle name="Normal 16 5" xfId="4536"/>
    <cellStyle name="Normal 16 6" xfId="4537"/>
    <cellStyle name="Normal 17" xfId="2727"/>
    <cellStyle name="Normal 17 2" xfId="3490"/>
    <cellStyle name="Normal 17 3" xfId="4538"/>
    <cellStyle name="Normal 17 3 2" xfId="7481"/>
    <cellStyle name="Normal 17 4" xfId="7482"/>
    <cellStyle name="Normal 18" xfId="2728"/>
    <cellStyle name="Normal 18 2" xfId="3491"/>
    <cellStyle name="Normal 18 3" xfId="4539"/>
    <cellStyle name="Normal 18 3 2" xfId="7483"/>
    <cellStyle name="Normal 18 4" xfId="7484"/>
    <cellStyle name="Normal 19" xfId="2729"/>
    <cellStyle name="Normal 19 2" xfId="3492"/>
    <cellStyle name="Normal 19 3" xfId="4540"/>
    <cellStyle name="Normal 19 3 2" xfId="7485"/>
    <cellStyle name="Normal 2" xfId="2730"/>
    <cellStyle name="Normal 2 10" xfId="2731"/>
    <cellStyle name="Normal 2 11" xfId="2732"/>
    <cellStyle name="Normal 2 2" xfId="2733"/>
    <cellStyle name="Normal 2 2 2" xfId="2734"/>
    <cellStyle name="Normal 2 2 2 2" xfId="2735"/>
    <cellStyle name="Normal 2 2 3" xfId="2736"/>
    <cellStyle name="Normal 2 2 3 2" xfId="2737"/>
    <cellStyle name="Normal 2 2 4" xfId="2738"/>
    <cellStyle name="Normal 2 2 4 2" xfId="7486"/>
    <cellStyle name="Normal 2 2 5" xfId="7487"/>
    <cellStyle name="Normal 2 2_4.14E Miscellaneous Operating Expense working file" xfId="4541"/>
    <cellStyle name="Normal 2 3" xfId="2739"/>
    <cellStyle name="Normal 2 3 2" xfId="2740"/>
    <cellStyle name="Normal 2 3 3" xfId="3493"/>
    <cellStyle name="Normal 2 4" xfId="2741"/>
    <cellStyle name="Normal 2 4 2" xfId="2742"/>
    <cellStyle name="Normal 2 5" xfId="2743"/>
    <cellStyle name="Normal 2 5 2" xfId="2744"/>
    <cellStyle name="Normal 2 6" xfId="2745"/>
    <cellStyle name="Normal 2 6 2" xfId="2746"/>
    <cellStyle name="Normal 2 6 2 2" xfId="7488"/>
    <cellStyle name="Normal 2 6 3" xfId="7489"/>
    <cellStyle name="Normal 2 7" xfId="2747"/>
    <cellStyle name="Normal 2 7 2" xfId="4542"/>
    <cellStyle name="Normal 2 7 2 2" xfId="7490"/>
    <cellStyle name="Normal 2 7 3" xfId="7491"/>
    <cellStyle name="Normal 2 8" xfId="2748"/>
    <cellStyle name="Normal 2 8 2" xfId="4543"/>
    <cellStyle name="Normal 2 8 2 2" xfId="4544"/>
    <cellStyle name="Normal 2 8 2 2 2" xfId="7492"/>
    <cellStyle name="Normal 2 8 2 3" xfId="7493"/>
    <cellStyle name="Normal 2 8 3" xfId="4545"/>
    <cellStyle name="Normal 2 8 3 2" xfId="7494"/>
    <cellStyle name="Normal 2 8 4" xfId="7495"/>
    <cellStyle name="Normal 2 9" xfId="2749"/>
    <cellStyle name="Normal 2 9 2" xfId="4546"/>
    <cellStyle name="Normal 2 9 2 2" xfId="7496"/>
    <cellStyle name="Normal 2 9 3" xfId="7497"/>
    <cellStyle name="Normal 2_16.37E Wild Horse Expansion DeferralRevwrkingfile SF" xfId="2750"/>
    <cellStyle name="Normal 20" xfId="2751"/>
    <cellStyle name="Normal 20 2" xfId="2752"/>
    <cellStyle name="Normal 20 2 2" xfId="7498"/>
    <cellStyle name="Normal 20 3" xfId="3494"/>
    <cellStyle name="Normal 20 3 2" xfId="7499"/>
    <cellStyle name="Normal 20 4" xfId="4547"/>
    <cellStyle name="Normal 20 4 2" xfId="7500"/>
    <cellStyle name="Normal 20 5" xfId="7501"/>
    <cellStyle name="Normal 21" xfId="2753"/>
    <cellStyle name="Normal 21 2" xfId="3152"/>
    <cellStyle name="Normal 21 2 2" xfId="4548"/>
    <cellStyle name="Normal 21 2 3" xfId="4549"/>
    <cellStyle name="Normal 21 3" xfId="4550"/>
    <cellStyle name="Normal 21 3 2" xfId="4551"/>
    <cellStyle name="Normal 21 4" xfId="4552"/>
    <cellStyle name="Normal 21 5" xfId="4553"/>
    <cellStyle name="Normal 22" xfId="2754"/>
    <cellStyle name="Normal 22 2" xfId="3153"/>
    <cellStyle name="Normal 22 2 2" xfId="4554"/>
    <cellStyle name="Normal 22 2 3" xfId="4555"/>
    <cellStyle name="Normal 22 3" xfId="4556"/>
    <cellStyle name="Normal 22 3 2" xfId="4557"/>
    <cellStyle name="Normal 22 4" xfId="4558"/>
    <cellStyle name="Normal 22 5" xfId="4559"/>
    <cellStyle name="Normal 23" xfId="2755"/>
    <cellStyle name="Normal 23 2" xfId="3154"/>
    <cellStyle name="Normal 23 2 2" xfId="4560"/>
    <cellStyle name="Normal 23 2 3" xfId="4561"/>
    <cellStyle name="Normal 23 3" xfId="4562"/>
    <cellStyle name="Normal 23 3 2" xfId="4563"/>
    <cellStyle name="Normal 23 4" xfId="4564"/>
    <cellStyle name="Normal 23 5" xfId="4565"/>
    <cellStyle name="Normal 24" xfId="2756"/>
    <cellStyle name="Normal 24 2" xfId="2757"/>
    <cellStyle name="Normal 24 2 2" xfId="4566"/>
    <cellStyle name="Normal 24 2 3" xfId="4567"/>
    <cellStyle name="Normal 24 3" xfId="3155"/>
    <cellStyle name="Normal 24 3 2" xfId="4568"/>
    <cellStyle name="Normal 24 4" xfId="4569"/>
    <cellStyle name="Normal 24 5" xfId="4570"/>
    <cellStyle name="Normal 25" xfId="2758"/>
    <cellStyle name="Normal 25 2" xfId="3156"/>
    <cellStyle name="Normal 25 2 2" xfId="4571"/>
    <cellStyle name="Normal 25 2 3" xfId="4572"/>
    <cellStyle name="Normal 25 3" xfId="4573"/>
    <cellStyle name="Normal 25 3 2" xfId="4574"/>
    <cellStyle name="Normal 25 4" xfId="4575"/>
    <cellStyle name="Normal 25 5" xfId="4576"/>
    <cellStyle name="Normal 26" xfId="2759"/>
    <cellStyle name="Normal 26 2" xfId="3157"/>
    <cellStyle name="Normal 26 2 2" xfId="4577"/>
    <cellStyle name="Normal 26 2 3" xfId="4578"/>
    <cellStyle name="Normal 26 3" xfId="4579"/>
    <cellStyle name="Normal 26 3 2" xfId="4580"/>
    <cellStyle name="Normal 26 4" xfId="4581"/>
    <cellStyle name="Normal 26 5" xfId="4582"/>
    <cellStyle name="Normal 27" xfId="2760"/>
    <cellStyle name="Normal 27 2" xfId="3158"/>
    <cellStyle name="Normal 27 2 2" xfId="4583"/>
    <cellStyle name="Normal 27 2 3" xfId="4584"/>
    <cellStyle name="Normal 27 3" xfId="4585"/>
    <cellStyle name="Normal 27 3 2" xfId="4586"/>
    <cellStyle name="Normal 27 4" xfId="4587"/>
    <cellStyle name="Normal 27 5" xfId="4588"/>
    <cellStyle name="Normal 28" xfId="2761"/>
    <cellStyle name="Normal 28 2" xfId="3159"/>
    <cellStyle name="Normal 28 2 2" xfId="4589"/>
    <cellStyle name="Normal 28 2 3" xfId="4590"/>
    <cellStyle name="Normal 28 3" xfId="4591"/>
    <cellStyle name="Normal 28 3 2" xfId="4592"/>
    <cellStyle name="Normal 28 4" xfId="4593"/>
    <cellStyle name="Normal 28 5" xfId="4594"/>
    <cellStyle name="Normal 29" xfId="2762"/>
    <cellStyle name="Normal 29 2" xfId="3160"/>
    <cellStyle name="Normal 29 2 2" xfId="4595"/>
    <cellStyle name="Normal 29 2 3" xfId="4596"/>
    <cellStyle name="Normal 29 3" xfId="4597"/>
    <cellStyle name="Normal 29 3 2" xfId="4598"/>
    <cellStyle name="Normal 29 4" xfId="4599"/>
    <cellStyle name="Normal 29 5" xfId="4600"/>
    <cellStyle name="Normal 3" xfId="3097"/>
    <cellStyle name="Normal 3 2" xfId="2763"/>
    <cellStyle name="Normal 3 2 2" xfId="2764"/>
    <cellStyle name="Normal 3 2 2 2" xfId="7502"/>
    <cellStyle name="Normal 3 2 3" xfId="7503"/>
    <cellStyle name="Normal 3 3" xfId="2765"/>
    <cellStyle name="Normal 3 3 2" xfId="2766"/>
    <cellStyle name="Normal 3 3 2 2" xfId="7504"/>
    <cellStyle name="Normal 3 3 3" xfId="7505"/>
    <cellStyle name="Normal 3 4" xfId="2767"/>
    <cellStyle name="Normal 3 4 2" xfId="4601"/>
    <cellStyle name="Normal 3 4 2 2" xfId="7506"/>
    <cellStyle name="Normal 3 4 3" xfId="4602"/>
    <cellStyle name="Normal 3 4 3 2" xfId="7507"/>
    <cellStyle name="Normal 3 4 4" xfId="4603"/>
    <cellStyle name="Normal 3 4 4 2" xfId="7508"/>
    <cellStyle name="Normal 3 5" xfId="3495"/>
    <cellStyle name="Normal 3 5 2" xfId="4604"/>
    <cellStyle name="Normal 3_2009 GRC Compl Filing - Exhibit D" xfId="3496"/>
    <cellStyle name="Normal 30" xfId="2768"/>
    <cellStyle name="Normal 30 2" xfId="3161"/>
    <cellStyle name="Normal 30 2 2" xfId="4605"/>
    <cellStyle name="Normal 30 2 3" xfId="4606"/>
    <cellStyle name="Normal 30 3" xfId="4607"/>
    <cellStyle name="Normal 30 3 2" xfId="4608"/>
    <cellStyle name="Normal 30 4" xfId="4609"/>
    <cellStyle name="Normal 30 5" xfId="4610"/>
    <cellStyle name="Normal 31" xfId="2769"/>
    <cellStyle name="Normal 31 2" xfId="3162"/>
    <cellStyle name="Normal 31 2 2" xfId="4611"/>
    <cellStyle name="Normal 31 2 3" xfId="4612"/>
    <cellStyle name="Normal 31 3" xfId="4613"/>
    <cellStyle name="Normal 31 3 2" xfId="4614"/>
    <cellStyle name="Normal 31 4" xfId="4615"/>
    <cellStyle name="Normal 31 5" xfId="4616"/>
    <cellStyle name="Normal 32" xfId="2770"/>
    <cellStyle name="Normal 32 2" xfId="3163"/>
    <cellStyle name="Normal 32 2 2" xfId="4617"/>
    <cellStyle name="Normal 32 2 3" xfId="4618"/>
    <cellStyle name="Normal 32 3" xfId="4619"/>
    <cellStyle name="Normal 32 3 2" xfId="4620"/>
    <cellStyle name="Normal 32 4" xfId="4621"/>
    <cellStyle name="Normal 32 5" xfId="4622"/>
    <cellStyle name="Normal 33" xfId="2771"/>
    <cellStyle name="Normal 33 2" xfId="3164"/>
    <cellStyle name="Normal 33 2 2" xfId="4623"/>
    <cellStyle name="Normal 33 2 3" xfId="4624"/>
    <cellStyle name="Normal 33 3" xfId="4625"/>
    <cellStyle name="Normal 33 3 2" xfId="4626"/>
    <cellStyle name="Normal 33 4" xfId="4627"/>
    <cellStyle name="Normal 33 5" xfId="4628"/>
    <cellStyle name="Normal 34" xfId="2772"/>
    <cellStyle name="Normal 34 2" xfId="3165"/>
    <cellStyle name="Normal 34 2 2" xfId="4629"/>
    <cellStyle name="Normal 34 2 3" xfId="4630"/>
    <cellStyle name="Normal 34 3" xfId="4631"/>
    <cellStyle name="Normal 34 3 2" xfId="4632"/>
    <cellStyle name="Normal 34 4" xfId="4633"/>
    <cellStyle name="Normal 34 5" xfId="4634"/>
    <cellStyle name="Normal 35" xfId="2773"/>
    <cellStyle name="Normal 35 2" xfId="3166"/>
    <cellStyle name="Normal 35 2 2" xfId="4635"/>
    <cellStyle name="Normal 35 2 3" xfId="4636"/>
    <cellStyle name="Normal 35 3" xfId="4637"/>
    <cellStyle name="Normal 35 3 2" xfId="4638"/>
    <cellStyle name="Normal 35 4" xfId="4639"/>
    <cellStyle name="Normal 35 5" xfId="4640"/>
    <cellStyle name="Normal 36" xfId="2774"/>
    <cellStyle name="Normal 36 2" xfId="3167"/>
    <cellStyle name="Normal 36 2 2" xfId="4641"/>
    <cellStyle name="Normal 36 2 3" xfId="4642"/>
    <cellStyle name="Normal 36 3" xfId="4643"/>
    <cellStyle name="Normal 36 3 2" xfId="4644"/>
    <cellStyle name="Normal 36 4" xfId="4645"/>
    <cellStyle name="Normal 36 5" xfId="4646"/>
    <cellStyle name="Normal 37" xfId="2775"/>
    <cellStyle name="Normal 37 2" xfId="3168"/>
    <cellStyle name="Normal 37 2 2" xfId="4647"/>
    <cellStyle name="Normal 37 2 3" xfId="4648"/>
    <cellStyle name="Normal 37 3" xfId="4649"/>
    <cellStyle name="Normal 37 3 2" xfId="4650"/>
    <cellStyle name="Normal 37 4" xfId="4651"/>
    <cellStyle name="Normal 37 5" xfId="4652"/>
    <cellStyle name="Normal 38" xfId="2776"/>
    <cellStyle name="Normal 38 2" xfId="3169"/>
    <cellStyle name="Normal 38 2 2" xfId="4653"/>
    <cellStyle name="Normal 38 2 3" xfId="4654"/>
    <cellStyle name="Normal 38 3" xfId="4655"/>
    <cellStyle name="Normal 38 3 2" xfId="4656"/>
    <cellStyle name="Normal 38 4" xfId="4657"/>
    <cellStyle name="Normal 38 5" xfId="4658"/>
    <cellStyle name="Normal 39" xfId="2777"/>
    <cellStyle name="Normal 39 2" xfId="3170"/>
    <cellStyle name="Normal 39 2 2" xfId="4659"/>
    <cellStyle name="Normal 39 2 3" xfId="4660"/>
    <cellStyle name="Normal 39 3" xfId="4661"/>
    <cellStyle name="Normal 39 3 2" xfId="4662"/>
    <cellStyle name="Normal 39 4" xfId="4663"/>
    <cellStyle name="Normal 39 5" xfId="4664"/>
    <cellStyle name="Normal 4" xfId="3098"/>
    <cellStyle name="Normal 4 2" xfId="2778"/>
    <cellStyle name="Normal 4 2 2" xfId="2779"/>
    <cellStyle name="Normal 4 2 2 2" xfId="4665"/>
    <cellStyle name="Normal 4 2 2 3" xfId="4666"/>
    <cellStyle name="Normal 4 2 3" xfId="3171"/>
    <cellStyle name="Normal 4 2 3 2" xfId="4667"/>
    <cellStyle name="Normal 4 2 4" xfId="4668"/>
    <cellStyle name="Normal 4 2 5" xfId="4669"/>
    <cellStyle name="Normal 4 3" xfId="2780"/>
    <cellStyle name="Normal 4 3 2" xfId="7509"/>
    <cellStyle name="Normal 4 4" xfId="3497"/>
    <cellStyle name="Normal 4_DEM-WP(C) Costs Not In AURORA 2010GRC As Filed" xfId="3498"/>
    <cellStyle name="Normal 40" xfId="2781"/>
    <cellStyle name="Normal 41" xfId="3526"/>
    <cellStyle name="Normal 41 2" xfId="4670"/>
    <cellStyle name="Normal 41 2 2" xfId="7510"/>
    <cellStyle name="Normal 41 3" xfId="4671"/>
    <cellStyle name="Normal 41 3 2" xfId="7511"/>
    <cellStyle name="Normal 41 4" xfId="4672"/>
    <cellStyle name="Normal 41 4 2" xfId="7512"/>
    <cellStyle name="Normal 42" xfId="4673"/>
    <cellStyle name="Normal 42 2" xfId="4674"/>
    <cellStyle name="Normal 42 2 2" xfId="4675"/>
    <cellStyle name="Normal 42 2 2 2" xfId="7513"/>
    <cellStyle name="Normal 42 2 3" xfId="7514"/>
    <cellStyle name="Normal 42 3" xfId="4676"/>
    <cellStyle name="Normal 42 3 2" xfId="7515"/>
    <cellStyle name="Normal 42 4" xfId="4677"/>
    <cellStyle name="Normal 42 4 2" xfId="7516"/>
    <cellStyle name="Normal 42 5" xfId="4678"/>
    <cellStyle name="Normal 42 5 2" xfId="7517"/>
    <cellStyle name="Normal 43" xfId="4679"/>
    <cellStyle name="Normal 43 2" xfId="4680"/>
    <cellStyle name="Normal 43 3" xfId="4681"/>
    <cellStyle name="Normal 43 3 2" xfId="7518"/>
    <cellStyle name="Normal 44" xfId="4682"/>
    <cellStyle name="Normal 44 2" xfId="4683"/>
    <cellStyle name="Normal 44 2 2" xfId="4684"/>
    <cellStyle name="Normal 44 2 2 2" xfId="7519"/>
    <cellStyle name="Normal 44 2 3" xfId="7520"/>
    <cellStyle name="Normal 44 2 4" xfId="7521"/>
    <cellStyle name="Normal 44 3" xfId="4685"/>
    <cellStyle name="Normal 44 3 2" xfId="7522"/>
    <cellStyle name="Normal 44 3 3" xfId="7523"/>
    <cellStyle name="Normal 44 4" xfId="4686"/>
    <cellStyle name="Normal 44 4 2" xfId="7524"/>
    <cellStyle name="Normal 44 5" xfId="4687"/>
    <cellStyle name="Normal 44 5 2" xfId="7525"/>
    <cellStyle name="Normal 45" xfId="4688"/>
    <cellStyle name="Normal 45 2" xfId="4689"/>
    <cellStyle name="Normal 45 2 2" xfId="4690"/>
    <cellStyle name="Normal 45 3" xfId="4691"/>
    <cellStyle name="Normal 45 4" xfId="4692"/>
    <cellStyle name="Normal 45 5" xfId="7526"/>
    <cellStyle name="Normal 46" xfId="4693"/>
    <cellStyle name="Normal 46 2" xfId="4694"/>
    <cellStyle name="Normal 46 2 2" xfId="4695"/>
    <cellStyle name="Normal 46 2 3" xfId="4696"/>
    <cellStyle name="Normal 46 3" xfId="4697"/>
    <cellStyle name="Normal 46 4" xfId="4698"/>
    <cellStyle name="Normal 46 5" xfId="7527"/>
    <cellStyle name="Normal 47" xfId="4699"/>
    <cellStyle name="Normal 47 2" xfId="4700"/>
    <cellStyle name="Normal 47 2 2" xfId="7528"/>
    <cellStyle name="Normal 47 3" xfId="4701"/>
    <cellStyle name="Normal 47 3 2" xfId="7529"/>
    <cellStyle name="Normal 47 4" xfId="4702"/>
    <cellStyle name="Normal 47 4 2" xfId="7530"/>
    <cellStyle name="Normal 48" xfId="4703"/>
    <cellStyle name="Normal 48 2" xfId="4704"/>
    <cellStyle name="Normal 48 2 2" xfId="7531"/>
    <cellStyle name="Normal 48 3" xfId="4705"/>
    <cellStyle name="Normal 48 3 2" xfId="7532"/>
    <cellStyle name="Normal 48 4" xfId="4706"/>
    <cellStyle name="Normal 48 4 2" xfId="7533"/>
    <cellStyle name="Normal 49" xfId="4707"/>
    <cellStyle name="Normal 49 2" xfId="4708"/>
    <cellStyle name="Normal 49 2 2" xfId="7534"/>
    <cellStyle name="Normal 49 3" xfId="4709"/>
    <cellStyle name="Normal 49 3 2" xfId="7535"/>
    <cellStyle name="Normal 49 4" xfId="4710"/>
    <cellStyle name="Normal 49 4 2" xfId="7536"/>
    <cellStyle name="Normal 5" xfId="3099"/>
    <cellStyle name="Normal 5 2" xfId="2782"/>
    <cellStyle name="Normal 5 2 2" xfId="7537"/>
    <cellStyle name="Normal 5 3" xfId="3499"/>
    <cellStyle name="Normal 50" xfId="4711"/>
    <cellStyle name="Normal 50 2" xfId="4712"/>
    <cellStyle name="Normal 50 2 2" xfId="7538"/>
    <cellStyle name="Normal 50 3" xfId="4713"/>
    <cellStyle name="Normal 50 3 2" xfId="7539"/>
    <cellStyle name="Normal 50 4" xfId="4714"/>
    <cellStyle name="Normal 50 4 2" xfId="7540"/>
    <cellStyle name="Normal 51" xfId="4715"/>
    <cellStyle name="Normal 51 2" xfId="4716"/>
    <cellStyle name="Normal 51 2 2" xfId="4717"/>
    <cellStyle name="Normal 51 2 3" xfId="4718"/>
    <cellStyle name="Normal 51 3" xfId="4719"/>
    <cellStyle name="Normal 51 4" xfId="4720"/>
    <cellStyle name="Normal 51 5" xfId="7541"/>
    <cellStyle name="Normal 52" xfId="4721"/>
    <cellStyle name="Normal 53" xfId="4722"/>
    <cellStyle name="Normal 53 2" xfId="4723"/>
    <cellStyle name="Normal 53 3" xfId="4724"/>
    <cellStyle name="Normal 53 3 2" xfId="7542"/>
    <cellStyle name="Normal 53 4" xfId="4725"/>
    <cellStyle name="Normal 54" xfId="4726"/>
    <cellStyle name="Normal 54 2" xfId="4727"/>
    <cellStyle name="Normal 54 3" xfId="4728"/>
    <cellStyle name="Normal 54 3 2" xfId="7543"/>
    <cellStyle name="Normal 54 4" xfId="4729"/>
    <cellStyle name="Normal 55" xfId="4730"/>
    <cellStyle name="Normal 55 2" xfId="4731"/>
    <cellStyle name="Normal 55 2 2" xfId="7544"/>
    <cellStyle name="Normal 55 3" xfId="7545"/>
    <cellStyle name="Normal 56" xfId="4732"/>
    <cellStyle name="Normal 56 2" xfId="4733"/>
    <cellStyle name="Normal 56 2 2" xfId="7546"/>
    <cellStyle name="Normal 56 3" xfId="7547"/>
    <cellStyle name="Normal 57" xfId="4734"/>
    <cellStyle name="Normal 57 2" xfId="7548"/>
    <cellStyle name="Normal 58" xfId="4735"/>
    <cellStyle name="Normal 58 2" xfId="7549"/>
    <cellStyle name="Normal 59" xfId="4736"/>
    <cellStyle name="Normal 59 2" xfId="7550"/>
    <cellStyle name="Normal 6" xfId="2783"/>
    <cellStyle name="Normal 6 2" xfId="3172"/>
    <cellStyle name="Normal 6 2 2" xfId="4737"/>
    <cellStyle name="Normal 6 2 2 2" xfId="7551"/>
    <cellStyle name="Normal 6 2 3" xfId="7552"/>
    <cellStyle name="Normal 60" xfId="4738"/>
    <cellStyle name="Normal 60 2" xfId="7553"/>
    <cellStyle name="Normal 61" xfId="4739"/>
    <cellStyle name="Normal 61 2" xfId="7554"/>
    <cellStyle name="Normal 62" xfId="4740"/>
    <cellStyle name="Normal 62 2" xfId="7555"/>
    <cellStyle name="Normal 63" xfId="4741"/>
    <cellStyle name="Normal 63 2" xfId="7556"/>
    <cellStyle name="Normal 64" xfId="4742"/>
    <cellStyle name="Normal 64 2" xfId="7557"/>
    <cellStyle name="Normal 65" xfId="4743"/>
    <cellStyle name="Normal 65 2" xfId="7558"/>
    <cellStyle name="Normal 66" xfId="4744"/>
    <cellStyle name="Normal 66 2" xfId="7559"/>
    <cellStyle name="Normal 67" xfId="4745"/>
    <cellStyle name="Normal 67 2" xfId="7560"/>
    <cellStyle name="Normal 68" xfId="4746"/>
    <cellStyle name="Normal 68 2" xfId="7561"/>
    <cellStyle name="Normal 69" xfId="4747"/>
    <cellStyle name="Normal 69 2" xfId="7562"/>
    <cellStyle name="Normal 7" xfId="2784"/>
    <cellStyle name="Normal 7 2" xfId="2785"/>
    <cellStyle name="Normal 7 2 2" xfId="4748"/>
    <cellStyle name="Normal 7 2 2 2" xfId="7563"/>
    <cellStyle name="Normal 7 2 3" xfId="7564"/>
    <cellStyle name="Normal 7 3" xfId="3173"/>
    <cellStyle name="Normal 70" xfId="4749"/>
    <cellStyle name="Normal 70 2" xfId="7565"/>
    <cellStyle name="Normal 71" xfId="4750"/>
    <cellStyle name="Normal 71 2" xfId="7566"/>
    <cellStyle name="Normal 72" xfId="4751"/>
    <cellStyle name="Normal 72 2" xfId="7567"/>
    <cellStyle name="Normal 73" xfId="4752"/>
    <cellStyle name="Normal 73 2" xfId="7568"/>
    <cellStyle name="Normal 74" xfId="4753"/>
    <cellStyle name="Normal 75" xfId="4754"/>
    <cellStyle name="Normal 76" xfId="4755"/>
    <cellStyle name="Normal 77" xfId="4756"/>
    <cellStyle name="Normal 78" xfId="4757"/>
    <cellStyle name="Normal 79" xfId="4758"/>
    <cellStyle name="Normal 8" xfId="2786"/>
    <cellStyle name="Normal 8 2" xfId="2787"/>
    <cellStyle name="Normal 8 2 2" xfId="4759"/>
    <cellStyle name="Normal 8 2 2 2" xfId="7569"/>
    <cellStyle name="Normal 8 2 3" xfId="7570"/>
    <cellStyle name="Normal 8 3" xfId="3500"/>
    <cellStyle name="Normal 80" xfId="4760"/>
    <cellStyle name="Normal 81" xfId="4761"/>
    <cellStyle name="Normal 82" xfId="4762"/>
    <cellStyle name="Normal 83" xfId="4763"/>
    <cellStyle name="Normal 84" xfId="4764"/>
    <cellStyle name="Normal 85" xfId="4765"/>
    <cellStyle name="Normal 86" xfId="4766"/>
    <cellStyle name="Normal 87" xfId="4767"/>
    <cellStyle name="Normal 88" xfId="4768"/>
    <cellStyle name="Normal 89" xfId="4769"/>
    <cellStyle name="Normal 9" xfId="2788"/>
    <cellStyle name="Normal 9 2" xfId="3501"/>
    <cellStyle name="Normal 9 2 2" xfId="4770"/>
    <cellStyle name="Normal 9 2 2 2" xfId="7571"/>
    <cellStyle name="Normal 9 2 3" xfId="7572"/>
    <cellStyle name="Normal 90" xfId="4771"/>
    <cellStyle name="Normal 91" xfId="4772"/>
    <cellStyle name="Normal 92" xfId="4773"/>
    <cellStyle name="Normal 93" xfId="4774"/>
    <cellStyle name="Normal 94" xfId="2789"/>
    <cellStyle name="Normal 95" xfId="4775"/>
    <cellStyle name="Normal 96" xfId="2790"/>
    <cellStyle name="Normal 97" xfId="7573"/>
    <cellStyle name="Normal 98" xfId="7574"/>
    <cellStyle name="Normal 99" xfId="7575"/>
    <cellStyle name="Normal_2.03E Power Costs 60 w-yrs DRAFT 02.13.04" xfId="2791"/>
    <cellStyle name="Normal_2003 Elect Master AMA PCORC TY 0603 RY 0305" xfId="2792"/>
    <cellStyle name="Normal_2007 GRC Electric Model WF" xfId="2793"/>
    <cellStyle name="Normal_4.05 Exhibit A-2 " xfId="3038"/>
    <cellStyle name="Normal_Benefits and Taxes RORC TY 0603 RY 0305" xfId="2794"/>
    <cellStyle name="Normal_CopyOfBook6" xfId="2795"/>
    <cellStyle name="Normal_Hopkins Ridge" xfId="2796"/>
    <cellStyle name="Normal_JHS Rebuttal Exhs 11-14 internal" xfId="2797"/>
    <cellStyle name="Normal_JHS-4 through JHS-7 Elec (2009 GRC) " xfId="2798"/>
    <cellStyle name="Normal_model" xfId="2799"/>
    <cellStyle name="Normal_PCA Adj Agrmt Exhibit A3" xfId="2800"/>
    <cellStyle name="Normal_PCA-Porperty Taxes on Production &amp; Transmission.Test Year" xfId="2801"/>
    <cellStyle name="Normal_Portfoilio Test Results_051005" xfId="2802"/>
    <cellStyle name="Normal_Production Adjustment GRC TY0903 RY0206" xfId="2803"/>
    <cellStyle name="Normal_Property Insurance" xfId="2804"/>
    <cellStyle name="Normal_PSE Resp PC DR 027_Supp 01_Attach A" xfId="2805"/>
    <cellStyle name="Normal_TENASKA REGULATORY ASSET" xfId="3043"/>
    <cellStyle name="Normal_Transmission Revenue GRC TY 0903 RY 0206 Request1" xfId="2806"/>
    <cellStyle name="Normal_Wild Horse 2006 GRC" xfId="2807"/>
    <cellStyle name="Note 10" xfId="2808"/>
    <cellStyle name="Note 10 2" xfId="3174"/>
    <cellStyle name="Note 11" xfId="2809"/>
    <cellStyle name="Note 11 2" xfId="3175"/>
    <cellStyle name="Note 12" xfId="2810"/>
    <cellStyle name="Note 12 2" xfId="3176"/>
    <cellStyle name="Note 12 3" xfId="4776"/>
    <cellStyle name="Note 12 3 2" xfId="7576"/>
    <cellStyle name="Note 12 4" xfId="7577"/>
    <cellStyle name="Note 2" xfId="2811"/>
    <cellStyle name="Note 2 2" xfId="2812"/>
    <cellStyle name="Note 2 2 2" xfId="2813"/>
    <cellStyle name="Note 2 2 3" xfId="3178"/>
    <cellStyle name="Note 2 3" xfId="2814"/>
    <cellStyle name="Note 2 4" xfId="3177"/>
    <cellStyle name="Note 2_AURORA Total New" xfId="2815"/>
    <cellStyle name="Note 3" xfId="2816"/>
    <cellStyle name="Note 3 2" xfId="2817"/>
    <cellStyle name="Note 3 3" xfId="3179"/>
    <cellStyle name="Note 4" xfId="2818"/>
    <cellStyle name="Note 4 2" xfId="2819"/>
    <cellStyle name="Note 4 3" xfId="3180"/>
    <cellStyle name="Note 5" xfId="2820"/>
    <cellStyle name="Note 5 2" xfId="2821"/>
    <cellStyle name="Note 5 3" xfId="3181"/>
    <cellStyle name="Note 6" xfId="2822"/>
    <cellStyle name="Note 6 2" xfId="2823"/>
    <cellStyle name="Note 6 3" xfId="3182"/>
    <cellStyle name="Note 7" xfId="2824"/>
    <cellStyle name="Note 7 2" xfId="2825"/>
    <cellStyle name="Note 7 3" xfId="3183"/>
    <cellStyle name="Note 8" xfId="2826"/>
    <cellStyle name="Note 8 2" xfId="2827"/>
    <cellStyle name="Note 8 3" xfId="3184"/>
    <cellStyle name="Note 9" xfId="2828"/>
    <cellStyle name="Note 9 2" xfId="2829"/>
    <cellStyle name="Note 9 3" xfId="3185"/>
    <cellStyle name="Output" xfId="2830" builtinId="21" customBuiltin="1"/>
    <cellStyle name="Output 2" xfId="2831"/>
    <cellStyle name="Output 2 2" xfId="2832"/>
    <cellStyle name="Output 2 2 2" xfId="3186"/>
    <cellStyle name="Output 2 3" xfId="3502"/>
    <cellStyle name="Output 3" xfId="2833"/>
    <cellStyle name="Output 3 2" xfId="4777"/>
    <cellStyle name="Output 3 3" xfId="7578"/>
    <cellStyle name="Output 3 4" xfId="7579"/>
    <cellStyle name="Percen - Style1" xfId="2834"/>
    <cellStyle name="Percen - Style2" xfId="2835"/>
    <cellStyle name="Percen - Style3" xfId="2836"/>
    <cellStyle name="Percen - Style3 2" xfId="3100"/>
    <cellStyle name="Percen - Style3_Electric Rev Req Model (2009 GRC) Rebuttal" xfId="3101"/>
    <cellStyle name="Percent" xfId="2837" builtinId="5"/>
    <cellStyle name="Percent [2]" xfId="2838"/>
    <cellStyle name="Percent [2] 2" xfId="2839"/>
    <cellStyle name="Percent [2] 2 2" xfId="2840"/>
    <cellStyle name="Percent [2] 2 2 2" xfId="7580"/>
    <cellStyle name="Percent [2] 2 3" xfId="7581"/>
    <cellStyle name="Percent [2] 3" xfId="2841"/>
    <cellStyle name="Percent [2] 3 2" xfId="4778"/>
    <cellStyle name="Percent [2] 3 2 2" xfId="7582"/>
    <cellStyle name="Percent [2] 3 3" xfId="4779"/>
    <cellStyle name="Percent [2] 3 3 2" xfId="7583"/>
    <cellStyle name="Percent [2] 3 4" xfId="4780"/>
    <cellStyle name="Percent [2] 3 4 2" xfId="7584"/>
    <cellStyle name="Percent [2] 4" xfId="2842"/>
    <cellStyle name="Percent [2] 4 2" xfId="3503"/>
    <cellStyle name="Percent [2] 5" xfId="7585"/>
    <cellStyle name="Percent 10" xfId="2843"/>
    <cellStyle name="Percent 10 2" xfId="2844"/>
    <cellStyle name="Percent 10 3" xfId="4781"/>
    <cellStyle name="Percent 10 3 2" xfId="7586"/>
    <cellStyle name="Percent 11" xfId="2845"/>
    <cellStyle name="Percent 11 2" xfId="2846"/>
    <cellStyle name="Percent 11 2 2" xfId="7587"/>
    <cellStyle name="Percent 11 3" xfId="4782"/>
    <cellStyle name="Percent 11 3 2" xfId="7588"/>
    <cellStyle name="Percent 11 4" xfId="4783"/>
    <cellStyle name="Percent 11 4 2" xfId="7589"/>
    <cellStyle name="Percent 12" xfId="2847"/>
    <cellStyle name="Percent 12 2" xfId="2848"/>
    <cellStyle name="Percent 12 2 2" xfId="4784"/>
    <cellStyle name="Percent 12 2 2 2" xfId="7590"/>
    <cellStyle name="Percent 12 2 3" xfId="7591"/>
    <cellStyle name="Percent 12 3" xfId="4785"/>
    <cellStyle name="Percent 12 3 2" xfId="7592"/>
    <cellStyle name="Percent 12 4" xfId="4786"/>
    <cellStyle name="Percent 12 4 2" xfId="7593"/>
    <cellStyle name="Percent 12 5" xfId="4787"/>
    <cellStyle name="Percent 12 5 2" xfId="7594"/>
    <cellStyle name="Percent 13" xfId="2849"/>
    <cellStyle name="Percent 13 2" xfId="2850"/>
    <cellStyle name="Percent 13 2 2" xfId="4788"/>
    <cellStyle name="Percent 13 2 3" xfId="7595"/>
    <cellStyle name="Percent 13 3" xfId="4789"/>
    <cellStyle name="Percent 13 3 2" xfId="7596"/>
    <cellStyle name="Percent 13 4" xfId="4790"/>
    <cellStyle name="Percent 13 5" xfId="7597"/>
    <cellStyle name="Percent 14" xfId="2851"/>
    <cellStyle name="Percent 14 2" xfId="2852"/>
    <cellStyle name="Percent 14 2 2" xfId="4791"/>
    <cellStyle name="Percent 14 3" xfId="4792"/>
    <cellStyle name="Percent 14 4" xfId="4793"/>
    <cellStyle name="Percent 14 4 2" xfId="7598"/>
    <cellStyle name="Percent 14 5" xfId="4794"/>
    <cellStyle name="Percent 15" xfId="2853"/>
    <cellStyle name="Percent 15 2" xfId="2854"/>
    <cellStyle name="Percent 15 2 2" xfId="4795"/>
    <cellStyle name="Percent 15 2 3" xfId="7599"/>
    <cellStyle name="Percent 15 2 4" xfId="7600"/>
    <cellStyle name="Percent 15 3" xfId="4796"/>
    <cellStyle name="Percent 15 3 2" xfId="7601"/>
    <cellStyle name="Percent 15 4" xfId="4797"/>
    <cellStyle name="Percent 15 4 2" xfId="7602"/>
    <cellStyle name="Percent 15 5" xfId="4798"/>
    <cellStyle name="Percent 15 6" xfId="7603"/>
    <cellStyle name="Percent 16" xfId="2855"/>
    <cellStyle name="Percent 16 2" xfId="2856"/>
    <cellStyle name="Percent 16 2 2" xfId="7604"/>
    <cellStyle name="Percent 16 3" xfId="4799"/>
    <cellStyle name="Percent 16 3 2" xfId="7605"/>
    <cellStyle name="Percent 16 4" xfId="4800"/>
    <cellStyle name="Percent 16 4 2" xfId="7606"/>
    <cellStyle name="Percent 17" xfId="2857"/>
    <cellStyle name="Percent 17 2" xfId="2858"/>
    <cellStyle name="Percent 17 2 2" xfId="7607"/>
    <cellStyle name="Percent 17 3" xfId="4801"/>
    <cellStyle name="Percent 17 3 2" xfId="7608"/>
    <cellStyle name="Percent 17 4" xfId="4802"/>
    <cellStyle name="Percent 17 4 2" xfId="7609"/>
    <cellStyle name="Percent 18" xfId="2859"/>
    <cellStyle name="Percent 18 2" xfId="2860"/>
    <cellStyle name="Percent 18 2 2" xfId="7610"/>
    <cellStyle name="Percent 18 3" xfId="4803"/>
    <cellStyle name="Percent 18 3 2" xfId="7611"/>
    <cellStyle name="Percent 18 4" xfId="4804"/>
    <cellStyle name="Percent 18 4 2" xfId="7612"/>
    <cellStyle name="Percent 19" xfId="2861"/>
    <cellStyle name="Percent 19 2" xfId="2862"/>
    <cellStyle name="Percent 19 2 2" xfId="7613"/>
    <cellStyle name="Percent 19 3" xfId="4805"/>
    <cellStyle name="Percent 19 3 2" xfId="7614"/>
    <cellStyle name="Percent 19 4" xfId="4806"/>
    <cellStyle name="Percent 19 4 2" xfId="7615"/>
    <cellStyle name="Percent 2" xfId="2863"/>
    <cellStyle name="Percent 2 2" xfId="2864"/>
    <cellStyle name="Percent 2 2 2" xfId="2865"/>
    <cellStyle name="Percent 2 2 2 2" xfId="7616"/>
    <cellStyle name="Percent 2 2 3" xfId="7617"/>
    <cellStyle name="Percent 2 3" xfId="2866"/>
    <cellStyle name="Percent 2 3 2" xfId="7618"/>
    <cellStyle name="Percent 2 4" xfId="3102"/>
    <cellStyle name="Percent 2 4 2" xfId="7619"/>
    <cellStyle name="Percent 2 5" xfId="7620"/>
    <cellStyle name="Percent 20" xfId="2867"/>
    <cellStyle name="Percent 20 2" xfId="2868"/>
    <cellStyle name="Percent 20 2 2" xfId="4807"/>
    <cellStyle name="Percent 20 2 3" xfId="7621"/>
    <cellStyle name="Percent 20 2 4" xfId="7622"/>
    <cellStyle name="Percent 20 3" xfId="4808"/>
    <cellStyle name="Percent 20 4" xfId="7623"/>
    <cellStyle name="Percent 20 5" xfId="7624"/>
    <cellStyle name="Percent 21" xfId="2869"/>
    <cellStyle name="Percent 21 2" xfId="4809"/>
    <cellStyle name="Percent 21 3" xfId="7625"/>
    <cellStyle name="Percent 22" xfId="2870"/>
    <cellStyle name="Percent 22 2" xfId="3504"/>
    <cellStyle name="Percent 22 3" xfId="4810"/>
    <cellStyle name="Percent 22 3 2" xfId="7626"/>
    <cellStyle name="Percent 22 4" xfId="4811"/>
    <cellStyle name="Percent 23" xfId="2871"/>
    <cellStyle name="Percent 23 2" xfId="4812"/>
    <cellStyle name="Percent 23 3" xfId="4813"/>
    <cellStyle name="Percent 23 3 2" xfId="7627"/>
    <cellStyle name="Percent 23 4" xfId="4814"/>
    <cellStyle name="Percent 24" xfId="4815"/>
    <cellStyle name="Percent 24 2" xfId="4816"/>
    <cellStyle name="Percent 24 2 2" xfId="7628"/>
    <cellStyle name="Percent 24 3" xfId="4817"/>
    <cellStyle name="Percent 24 3 2" xfId="7629"/>
    <cellStyle name="Percent 24 4" xfId="4818"/>
    <cellStyle name="Percent 24 4 2" xfId="7630"/>
    <cellStyle name="Percent 24 5" xfId="7631"/>
    <cellStyle name="Percent 25" xfId="4819"/>
    <cellStyle name="Percent 25 2" xfId="4820"/>
    <cellStyle name="Percent 25 2 2" xfId="7632"/>
    <cellStyle name="Percent 25 3" xfId="7633"/>
    <cellStyle name="Percent 26" xfId="4821"/>
    <cellStyle name="Percent 26 2" xfId="7634"/>
    <cellStyle name="Percent 27" xfId="4822"/>
    <cellStyle name="Percent 27 2" xfId="7635"/>
    <cellStyle name="Percent 28" xfId="4823"/>
    <cellStyle name="Percent 28 2" xfId="7636"/>
    <cellStyle name="Percent 29" xfId="4824"/>
    <cellStyle name="Percent 29 2" xfId="7637"/>
    <cellStyle name="Percent 3" xfId="2872"/>
    <cellStyle name="Percent 3 2" xfId="2873"/>
    <cellStyle name="Percent 3 2 2" xfId="4825"/>
    <cellStyle name="Percent 3 2 2 2" xfId="7638"/>
    <cellStyle name="Percent 3 2 3" xfId="7639"/>
    <cellStyle name="Percent 3 3" xfId="2874"/>
    <cellStyle name="Percent 3 3 2" xfId="7640"/>
    <cellStyle name="Percent 3 4" xfId="7641"/>
    <cellStyle name="Percent 30" xfId="4826"/>
    <cellStyle name="Percent 30 2" xfId="7642"/>
    <cellStyle name="Percent 31" xfId="4827"/>
    <cellStyle name="Percent 31 2" xfId="7643"/>
    <cellStyle name="Percent 32" xfId="4828"/>
    <cellStyle name="Percent 32 2" xfId="7644"/>
    <cellStyle name="Percent 33" xfId="4829"/>
    <cellStyle name="Percent 33 2" xfId="7645"/>
    <cellStyle name="Percent 34" xfId="4830"/>
    <cellStyle name="Percent 34 2" xfId="7646"/>
    <cellStyle name="Percent 35" xfId="4831"/>
    <cellStyle name="Percent 35 2" xfId="7647"/>
    <cellStyle name="Percent 36" xfId="4832"/>
    <cellStyle name="Percent 36 2" xfId="7648"/>
    <cellStyle name="Percent 37" xfId="4833"/>
    <cellStyle name="Percent 37 2" xfId="7649"/>
    <cellStyle name="Percent 38" xfId="4834"/>
    <cellStyle name="Percent 38 2" xfId="7650"/>
    <cellStyle name="Percent 39" xfId="4835"/>
    <cellStyle name="Percent 39 2" xfId="7651"/>
    <cellStyle name="Percent 4" xfId="3505"/>
    <cellStyle name="Percent 4 2" xfId="2875"/>
    <cellStyle name="Percent 4 2 2" xfId="2876"/>
    <cellStyle name="Percent 4 2 3" xfId="4836"/>
    <cellStyle name="Percent 4 2 3 2" xfId="7652"/>
    <cellStyle name="Percent 4 2 4" xfId="7653"/>
    <cellStyle name="Percent 4 3" xfId="2877"/>
    <cellStyle name="Percent 4 3 2" xfId="7654"/>
    <cellStyle name="Percent 4 4" xfId="7655"/>
    <cellStyle name="Percent 40" xfId="4837"/>
    <cellStyle name="Percent 40 2" xfId="7656"/>
    <cellStyle name="Percent 41" xfId="4838"/>
    <cellStyle name="Percent 41 2" xfId="7657"/>
    <cellStyle name="Percent 42" xfId="4839"/>
    <cellStyle name="Percent 42 2" xfId="7658"/>
    <cellStyle name="Percent 43" xfId="4840"/>
    <cellStyle name="Percent 43 2" xfId="7659"/>
    <cellStyle name="Percent 44" xfId="4841"/>
    <cellStyle name="Percent 44 2" xfId="7660"/>
    <cellStyle name="Percent 45" xfId="4842"/>
    <cellStyle name="Percent 45 2" xfId="7661"/>
    <cellStyle name="Percent 46" xfId="4843"/>
    <cellStyle name="Percent 47" xfId="4844"/>
    <cellStyle name="Percent 48" xfId="4845"/>
    <cellStyle name="Percent 49" xfId="4846"/>
    <cellStyle name="Percent 5" xfId="3103"/>
    <cellStyle name="Percent 5 2" xfId="2878"/>
    <cellStyle name="Percent 5 2 2" xfId="7662"/>
    <cellStyle name="Percent 5 3" xfId="7663"/>
    <cellStyle name="Percent 50" xfId="4847"/>
    <cellStyle name="Percent 51" xfId="4848"/>
    <cellStyle name="Percent 52" xfId="4849"/>
    <cellStyle name="Percent 53" xfId="4850"/>
    <cellStyle name="Percent 54" xfId="4851"/>
    <cellStyle name="Percent 55" xfId="4852"/>
    <cellStyle name="Percent 56" xfId="4853"/>
    <cellStyle name="Percent 57" xfId="4854"/>
    <cellStyle name="Percent 58" xfId="4855"/>
    <cellStyle name="Percent 59" xfId="4856"/>
    <cellStyle name="Percent 6" xfId="3506"/>
    <cellStyle name="Percent 6 2" xfId="2879"/>
    <cellStyle name="Percent 6 2 2" xfId="4857"/>
    <cellStyle name="Percent 6 2 2 2" xfId="7664"/>
    <cellStyle name="Percent 6 2 3" xfId="7665"/>
    <cellStyle name="Percent 6 3" xfId="4858"/>
    <cellStyle name="Percent 6 3 2" xfId="7666"/>
    <cellStyle name="Percent 6 4" xfId="7667"/>
    <cellStyle name="Percent 60" xfId="4859"/>
    <cellStyle name="Percent 61" xfId="4860"/>
    <cellStyle name="Percent 62" xfId="4861"/>
    <cellStyle name="Percent 63" xfId="4862"/>
    <cellStyle name="Percent 64" xfId="4863"/>
    <cellStyle name="Percent 65" xfId="4864"/>
    <cellStyle name="Percent 66" xfId="4865"/>
    <cellStyle name="Percent 67" xfId="4866"/>
    <cellStyle name="Percent 68" xfId="7668"/>
    <cellStyle name="Percent 69" xfId="7669"/>
    <cellStyle name="Percent 7" xfId="2880"/>
    <cellStyle name="Percent 7 2" xfId="3507"/>
    <cellStyle name="Percent 7 3" xfId="4867"/>
    <cellStyle name="Percent 7 3 2" xfId="4868"/>
    <cellStyle name="Percent 7 3 3" xfId="7670"/>
    <cellStyle name="Percent 7 3 4" xfId="7671"/>
    <cellStyle name="Percent 7 4" xfId="4869"/>
    <cellStyle name="Percent 7 4 2" xfId="7672"/>
    <cellStyle name="Percent 7 5" xfId="4870"/>
    <cellStyle name="Percent 7 5 2" xfId="7673"/>
    <cellStyle name="Percent 7 6" xfId="4871"/>
    <cellStyle name="Percent 7 7" xfId="7674"/>
    <cellStyle name="Percent 7 8" xfId="7675"/>
    <cellStyle name="Percent 70" xfId="7676"/>
    <cellStyle name="Percent 71" xfId="7677"/>
    <cellStyle name="Percent 72" xfId="7678"/>
    <cellStyle name="Percent 73" xfId="7679"/>
    <cellStyle name="Percent 74" xfId="7680"/>
    <cellStyle name="Percent 75" xfId="7681"/>
    <cellStyle name="Percent 76" xfId="7682"/>
    <cellStyle name="Percent 77" xfId="7683"/>
    <cellStyle name="Percent 78" xfId="7684"/>
    <cellStyle name="Percent 79" xfId="7685"/>
    <cellStyle name="Percent 8" xfId="2881"/>
    <cellStyle name="Percent 8 2" xfId="2882"/>
    <cellStyle name="Percent 8 3" xfId="3187"/>
    <cellStyle name="Percent 80" xfId="7686"/>
    <cellStyle name="Percent 81" xfId="7687"/>
    <cellStyle name="Percent 82" xfId="7688"/>
    <cellStyle name="Percent 9" xfId="2883"/>
    <cellStyle name="Percent 9 2" xfId="2884"/>
    <cellStyle name="Percent 9 2 2" xfId="7689"/>
    <cellStyle name="Percent 9 3" xfId="7690"/>
    <cellStyle name="Processing" xfId="2885"/>
    <cellStyle name="Processing 2" xfId="2886"/>
    <cellStyle name="Processing 2 2" xfId="2887"/>
    <cellStyle name="Processing 3" xfId="2888"/>
    <cellStyle name="Processing_AURORA Total New" xfId="2889"/>
    <cellStyle name="PSChar" xfId="2890"/>
    <cellStyle name="PSChar 2" xfId="2891"/>
    <cellStyle name="PSChar 2 2" xfId="3508"/>
    <cellStyle name="PSChar 3" xfId="3104"/>
    <cellStyle name="PSDate" xfId="2892"/>
    <cellStyle name="PSDate 2" xfId="2893"/>
    <cellStyle name="PSDate 2 2" xfId="3509"/>
    <cellStyle name="PSDate 3" xfId="3105"/>
    <cellStyle name="PSDec" xfId="2894"/>
    <cellStyle name="PSDec 2" xfId="2895"/>
    <cellStyle name="PSDec 2 2" xfId="3510"/>
    <cellStyle name="PSDec 3" xfId="3106"/>
    <cellStyle name="PSHeading" xfId="2896"/>
    <cellStyle name="PSHeading 2" xfId="2897"/>
    <cellStyle name="PSHeading 2 2" xfId="3511"/>
    <cellStyle name="PSHeading 3" xfId="3107"/>
    <cellStyle name="PSInt" xfId="2898"/>
    <cellStyle name="PSInt 2" xfId="2899"/>
    <cellStyle name="PSInt 2 2" xfId="3512"/>
    <cellStyle name="PSInt 3" xfId="3108"/>
    <cellStyle name="PSSpacer" xfId="2900"/>
    <cellStyle name="PSSpacer 2" xfId="2901"/>
    <cellStyle name="PSSpacer 2 2" xfId="3513"/>
    <cellStyle name="PSSpacer 3" xfId="3109"/>
    <cellStyle name="purple - Style8" xfId="2902"/>
    <cellStyle name="purple - Style8 2" xfId="3110"/>
    <cellStyle name="purple - Style8_Electric Rev Req Model (2009 GRC) Rebuttal" xfId="3111"/>
    <cellStyle name="RED" xfId="2903"/>
    <cellStyle name="Red - Style7" xfId="2904"/>
    <cellStyle name="Red - Style7 2" xfId="3112"/>
    <cellStyle name="Red - Style7_Electric Rev Req Model (2009 GRC) Rebuttal" xfId="3113"/>
    <cellStyle name="RED 2" xfId="2905"/>
    <cellStyle name="RED 2 2" xfId="3514"/>
    <cellStyle name="RED_04 07E Wild Horse Wind Expansion (C) (2)" xfId="2906"/>
    <cellStyle name="Report" xfId="2907"/>
    <cellStyle name="Report - Style5" xfId="3114"/>
    <cellStyle name="Report - Style6" xfId="3115"/>
    <cellStyle name="Report - Style7" xfId="3116"/>
    <cellStyle name="Report - Style8" xfId="3117"/>
    <cellStyle name="Report 2" xfId="2908"/>
    <cellStyle name="Report 2 2" xfId="2909"/>
    <cellStyle name="Report 3" xfId="2910"/>
    <cellStyle name="Report 4" xfId="3188"/>
    <cellStyle name="Report Bar" xfId="2911"/>
    <cellStyle name="Report Bar 2" xfId="2912"/>
    <cellStyle name="Report Bar 2 2" xfId="2913"/>
    <cellStyle name="Report Bar 3" xfId="2914"/>
    <cellStyle name="Report Bar 4" xfId="3189"/>
    <cellStyle name="Report Bar_AURORA Total New" xfId="2915"/>
    <cellStyle name="Report Heading" xfId="2916"/>
    <cellStyle name="Report Heading 2" xfId="2917"/>
    <cellStyle name="Report Heading_Electric Rev Req Model (2009 GRC) Rebuttal" xfId="3118"/>
    <cellStyle name="Report Percent" xfId="2918"/>
    <cellStyle name="Report Percent 2" xfId="2919"/>
    <cellStyle name="Report Percent 2 2" xfId="2920"/>
    <cellStyle name="Report Percent 2 2 2" xfId="7691"/>
    <cellStyle name="Report Percent 2 3" xfId="7692"/>
    <cellStyle name="Report Percent 3" xfId="2921"/>
    <cellStyle name="Report Percent 3 2" xfId="4872"/>
    <cellStyle name="Report Percent 3 2 2" xfId="7693"/>
    <cellStyle name="Report Percent 3 3" xfId="4873"/>
    <cellStyle name="Report Percent 3 3 2" xfId="7694"/>
    <cellStyle name="Report Percent 3 4" xfId="4874"/>
    <cellStyle name="Report Percent 3 4 2" xfId="7695"/>
    <cellStyle name="Report Percent 4" xfId="2922"/>
    <cellStyle name="Report Percent 4 2" xfId="3515"/>
    <cellStyle name="Report Percent 5" xfId="7696"/>
    <cellStyle name="Report Percent_AURORA Total New" xfId="2923"/>
    <cellStyle name="Report Unit Cost" xfId="2924"/>
    <cellStyle name="Report Unit Cost 2" xfId="2925"/>
    <cellStyle name="Report Unit Cost 2 2" xfId="2926"/>
    <cellStyle name="Report Unit Cost 2 2 2" xfId="7697"/>
    <cellStyle name="Report Unit Cost 2 3" xfId="7698"/>
    <cellStyle name="Report Unit Cost 3" xfId="2927"/>
    <cellStyle name="Report Unit Cost 3 2" xfId="4875"/>
    <cellStyle name="Report Unit Cost 3 2 2" xfId="7699"/>
    <cellStyle name="Report Unit Cost 3 3" xfId="4876"/>
    <cellStyle name="Report Unit Cost 3 3 2" xfId="7700"/>
    <cellStyle name="Report Unit Cost 3 4" xfId="4877"/>
    <cellStyle name="Report Unit Cost 3 4 2" xfId="7701"/>
    <cellStyle name="Report Unit Cost 4" xfId="2928"/>
    <cellStyle name="Report Unit Cost 4 2" xfId="3516"/>
    <cellStyle name="Report Unit Cost 5" xfId="7702"/>
    <cellStyle name="Report Unit Cost_AURORA Total New" xfId="2929"/>
    <cellStyle name="Report_Adj Bench DR 3 for Initial Briefs (Electric)" xfId="2930"/>
    <cellStyle name="Reports" xfId="2931"/>
    <cellStyle name="Reports 2" xfId="3190"/>
    <cellStyle name="Reports Total" xfId="2932"/>
    <cellStyle name="Reports Total 2" xfId="2933"/>
    <cellStyle name="Reports Total 2 2" xfId="2934"/>
    <cellStyle name="Reports Total 3" xfId="2935"/>
    <cellStyle name="Reports Total 4" xfId="3191"/>
    <cellStyle name="Reports Total_AURORA Total New" xfId="2936"/>
    <cellStyle name="Reports Unit Cost Total" xfId="2937"/>
    <cellStyle name="Reports Unit Cost Total 2" xfId="3192"/>
    <cellStyle name="Reports_16.37E Wild Horse Expansion DeferralRevwrkingfile SF" xfId="2938"/>
    <cellStyle name="RevList" xfId="2939"/>
    <cellStyle name="round100" xfId="2940"/>
    <cellStyle name="round100 2" xfId="2941"/>
    <cellStyle name="round100 2 2" xfId="2942"/>
    <cellStyle name="round100 2 2 2" xfId="7703"/>
    <cellStyle name="round100 2 3" xfId="7704"/>
    <cellStyle name="round100 3" xfId="2943"/>
    <cellStyle name="round100 3 2" xfId="4878"/>
    <cellStyle name="round100 3 2 2" xfId="7705"/>
    <cellStyle name="round100 3 3" xfId="4879"/>
    <cellStyle name="round100 3 3 2" xfId="7706"/>
    <cellStyle name="round100 3 4" xfId="4880"/>
    <cellStyle name="round100 3 4 2" xfId="7707"/>
    <cellStyle name="round100 4" xfId="2944"/>
    <cellStyle name="round100 4 2" xfId="3517"/>
    <cellStyle name="round100 5" xfId="7708"/>
    <cellStyle name="SAPBEXaggData" xfId="2945"/>
    <cellStyle name="SAPBEXaggData 2" xfId="3193"/>
    <cellStyle name="SAPBEXaggDataEmph" xfId="2946"/>
    <cellStyle name="SAPBEXaggDataEmph 2" xfId="3194"/>
    <cellStyle name="SAPBEXaggItem" xfId="2947"/>
    <cellStyle name="SAPBEXaggItem 2" xfId="3195"/>
    <cellStyle name="SAPBEXaggItemX" xfId="2948"/>
    <cellStyle name="SAPBEXaggItemX 2" xfId="3196"/>
    <cellStyle name="SAPBEXchaText" xfId="2949"/>
    <cellStyle name="SAPBEXchaText 2" xfId="3197"/>
    <cellStyle name="SAPBEXchaText 2 2" xfId="4881"/>
    <cellStyle name="SAPBEXchaText 2 2 2" xfId="7709"/>
    <cellStyle name="SAPBEXchaText 2 3" xfId="7710"/>
    <cellStyle name="SAPBEXchaText 3" xfId="4882"/>
    <cellStyle name="SAPBEXchaText 3 2" xfId="4883"/>
    <cellStyle name="SAPBEXchaText 3 2 2" xfId="7711"/>
    <cellStyle name="SAPBEXchaText 3 3" xfId="4884"/>
    <cellStyle name="SAPBEXchaText 3 3 2" xfId="7712"/>
    <cellStyle name="SAPBEXchaText 3 4" xfId="4885"/>
    <cellStyle name="SAPBEXchaText 3 4 2" xfId="7713"/>
    <cellStyle name="SAPBEXchaText 4" xfId="4886"/>
    <cellStyle name="SAPBEXchaText 4 2" xfId="7714"/>
    <cellStyle name="SAPBEXchaText 5" xfId="7715"/>
    <cellStyle name="SAPBEXexcBad7" xfId="2950"/>
    <cellStyle name="SAPBEXexcBad7 2" xfId="3198"/>
    <cellStyle name="SAPBEXexcBad8" xfId="2951"/>
    <cellStyle name="SAPBEXexcBad8 2" xfId="3199"/>
    <cellStyle name="SAPBEXexcBad9" xfId="2952"/>
    <cellStyle name="SAPBEXexcBad9 2" xfId="3200"/>
    <cellStyle name="SAPBEXexcCritical4" xfId="2953"/>
    <cellStyle name="SAPBEXexcCritical4 2" xfId="3201"/>
    <cellStyle name="SAPBEXexcCritical5" xfId="2954"/>
    <cellStyle name="SAPBEXexcCritical5 2" xfId="3202"/>
    <cellStyle name="SAPBEXexcCritical6" xfId="2955"/>
    <cellStyle name="SAPBEXexcCritical6 2" xfId="3203"/>
    <cellStyle name="SAPBEXexcGood1" xfId="2956"/>
    <cellStyle name="SAPBEXexcGood1 2" xfId="3204"/>
    <cellStyle name="SAPBEXexcGood2" xfId="2957"/>
    <cellStyle name="SAPBEXexcGood2 2" xfId="3205"/>
    <cellStyle name="SAPBEXexcGood3" xfId="2958"/>
    <cellStyle name="SAPBEXexcGood3 2" xfId="3206"/>
    <cellStyle name="SAPBEXfilterDrill" xfId="2959"/>
    <cellStyle name="SAPBEXfilterDrill 2" xfId="3207"/>
    <cellStyle name="SAPBEXfilterItem" xfId="2960"/>
    <cellStyle name="SAPBEXfilterItem 2" xfId="3208"/>
    <cellStyle name="SAPBEXfilterText" xfId="2961"/>
    <cellStyle name="SAPBEXformats" xfId="2962"/>
    <cellStyle name="SAPBEXformats 2" xfId="3209"/>
    <cellStyle name="SAPBEXformats 2 2" xfId="7716"/>
    <cellStyle name="SAPBEXformats 3" xfId="7717"/>
    <cellStyle name="SAPBEXheaderItem" xfId="2963"/>
    <cellStyle name="SAPBEXheaderItem 2" xfId="3210"/>
    <cellStyle name="SAPBEXheaderText" xfId="2964"/>
    <cellStyle name="SAPBEXheaderText 2" xfId="3211"/>
    <cellStyle name="SAPBEXHLevel0" xfId="2965"/>
    <cellStyle name="SAPBEXHLevel0 2" xfId="3212"/>
    <cellStyle name="SAPBEXHLevel0 2 2" xfId="7718"/>
    <cellStyle name="SAPBEXHLevel0 3" xfId="7719"/>
    <cellStyle name="SAPBEXHLevel0X" xfId="2966"/>
    <cellStyle name="SAPBEXHLevel0X 2" xfId="3213"/>
    <cellStyle name="SAPBEXHLevel0X 2 2" xfId="4887"/>
    <cellStyle name="SAPBEXHLevel0X 2 2 2" xfId="7720"/>
    <cellStyle name="SAPBEXHLevel0X 2 3" xfId="7721"/>
    <cellStyle name="SAPBEXHLevel0X 3" xfId="4888"/>
    <cellStyle name="SAPBEXHLevel0X 3 2" xfId="4889"/>
    <cellStyle name="SAPBEXHLevel0X 3 2 2" xfId="7722"/>
    <cellStyle name="SAPBEXHLevel0X 3 3" xfId="4890"/>
    <cellStyle name="SAPBEXHLevel0X 3 3 2" xfId="7723"/>
    <cellStyle name="SAPBEXHLevel0X 3 4" xfId="4891"/>
    <cellStyle name="SAPBEXHLevel0X 3 4 2" xfId="7724"/>
    <cellStyle name="SAPBEXHLevel0X 4" xfId="4892"/>
    <cellStyle name="SAPBEXHLevel0X 4 2" xfId="7725"/>
    <cellStyle name="SAPBEXHLevel0X 5" xfId="7726"/>
    <cellStyle name="SAPBEXHLevel1" xfId="2967"/>
    <cellStyle name="SAPBEXHLevel1 2" xfId="3214"/>
    <cellStyle name="SAPBEXHLevel1 2 2" xfId="7727"/>
    <cellStyle name="SAPBEXHLevel1 3" xfId="7728"/>
    <cellStyle name="SAPBEXHLevel1X" xfId="2968"/>
    <cellStyle name="SAPBEXHLevel1X 2" xfId="3215"/>
    <cellStyle name="SAPBEXHLevel1X 2 2" xfId="7729"/>
    <cellStyle name="SAPBEXHLevel1X 3" xfId="7730"/>
    <cellStyle name="SAPBEXHLevel2" xfId="2969"/>
    <cellStyle name="SAPBEXHLevel2 2" xfId="3216"/>
    <cellStyle name="SAPBEXHLevel2 2 2" xfId="7731"/>
    <cellStyle name="SAPBEXHLevel2 3" xfId="7732"/>
    <cellStyle name="SAPBEXHLevel2X" xfId="2970"/>
    <cellStyle name="SAPBEXHLevel2X 2" xfId="3217"/>
    <cellStyle name="SAPBEXHLevel2X 2 2" xfId="7733"/>
    <cellStyle name="SAPBEXHLevel2X 3" xfId="7734"/>
    <cellStyle name="SAPBEXHLevel3" xfId="2971"/>
    <cellStyle name="SAPBEXHLevel3 2" xfId="3218"/>
    <cellStyle name="SAPBEXHLevel3 2 2" xfId="7735"/>
    <cellStyle name="SAPBEXHLevel3 3" xfId="7736"/>
    <cellStyle name="SAPBEXHLevel3X" xfId="2972"/>
    <cellStyle name="SAPBEXHLevel3X 2" xfId="3219"/>
    <cellStyle name="SAPBEXHLevel3X 2 2" xfId="7737"/>
    <cellStyle name="SAPBEXHLevel3X 3" xfId="7738"/>
    <cellStyle name="SAPBEXinputData" xfId="2973"/>
    <cellStyle name="SAPBEXinputData 2" xfId="3220"/>
    <cellStyle name="SAPBEXinputData 2 2" xfId="7739"/>
    <cellStyle name="SAPBEXinputData 3" xfId="7740"/>
    <cellStyle name="SAPBEXresData" xfId="2974"/>
    <cellStyle name="SAPBEXresData 2" xfId="3221"/>
    <cellStyle name="SAPBEXresDataEmph" xfId="2975"/>
    <cellStyle name="SAPBEXresDataEmph 2" xfId="3222"/>
    <cellStyle name="SAPBEXresItem" xfId="2976"/>
    <cellStyle name="SAPBEXresItem 2" xfId="3223"/>
    <cellStyle name="SAPBEXresItemX" xfId="2977"/>
    <cellStyle name="SAPBEXresItemX 2" xfId="3224"/>
    <cellStyle name="SAPBEXstdData" xfId="2978"/>
    <cellStyle name="SAPBEXstdData 2" xfId="2979"/>
    <cellStyle name="SAPBEXstdData 3" xfId="3225"/>
    <cellStyle name="SAPBEXstdDataEmph" xfId="2980"/>
    <cellStyle name="SAPBEXstdDataEmph 2" xfId="3226"/>
    <cellStyle name="SAPBEXstdItem" xfId="2981"/>
    <cellStyle name="SAPBEXstdItem 2" xfId="3227"/>
    <cellStyle name="SAPBEXstdItem 2 2" xfId="4893"/>
    <cellStyle name="SAPBEXstdItem 2 2 2" xfId="7741"/>
    <cellStyle name="SAPBEXstdItem 2 3" xfId="7742"/>
    <cellStyle name="SAPBEXstdItem 3" xfId="4894"/>
    <cellStyle name="SAPBEXstdItem 3 2" xfId="4895"/>
    <cellStyle name="SAPBEXstdItem 3 2 2" xfId="7743"/>
    <cellStyle name="SAPBEXstdItem 3 3" xfId="4896"/>
    <cellStyle name="SAPBEXstdItem 3 3 2" xfId="7744"/>
    <cellStyle name="SAPBEXstdItem 3 4" xfId="4897"/>
    <cellStyle name="SAPBEXstdItem 3 4 2" xfId="7745"/>
    <cellStyle name="SAPBEXstdItem 4" xfId="4898"/>
    <cellStyle name="SAPBEXstdItem 4 2" xfId="7746"/>
    <cellStyle name="SAPBEXstdItem 5" xfId="7747"/>
    <cellStyle name="SAPBEXstdItemX" xfId="2982"/>
    <cellStyle name="SAPBEXstdItemX 2" xfId="3228"/>
    <cellStyle name="SAPBEXstdItemX 2 2" xfId="4899"/>
    <cellStyle name="SAPBEXstdItemX 2 2 2" xfId="7748"/>
    <cellStyle name="SAPBEXstdItemX 2 3" xfId="7749"/>
    <cellStyle name="SAPBEXstdItemX 3" xfId="4900"/>
    <cellStyle name="SAPBEXstdItemX 3 2" xfId="4901"/>
    <cellStyle name="SAPBEXstdItemX 3 2 2" xfId="7750"/>
    <cellStyle name="SAPBEXstdItemX 3 3" xfId="4902"/>
    <cellStyle name="SAPBEXstdItemX 3 3 2" xfId="7751"/>
    <cellStyle name="SAPBEXstdItemX 3 4" xfId="4903"/>
    <cellStyle name="SAPBEXstdItemX 3 4 2" xfId="7752"/>
    <cellStyle name="SAPBEXstdItemX 4" xfId="4904"/>
    <cellStyle name="SAPBEXstdItemX 4 2" xfId="7753"/>
    <cellStyle name="SAPBEXstdItemX 5" xfId="7754"/>
    <cellStyle name="SAPBEXtitle" xfId="2983"/>
    <cellStyle name="SAPBEXundefined" xfId="2984"/>
    <cellStyle name="SAPBEXundefined 2" xfId="3229"/>
    <cellStyle name="shade" xfId="2985"/>
    <cellStyle name="shade 2" xfId="2986"/>
    <cellStyle name="shade 2 2" xfId="2987"/>
    <cellStyle name="shade 2 2 2" xfId="7755"/>
    <cellStyle name="shade 2 3" xfId="7756"/>
    <cellStyle name="shade 3" xfId="2988"/>
    <cellStyle name="shade 3 2" xfId="4905"/>
    <cellStyle name="shade 3 2 2" xfId="7757"/>
    <cellStyle name="shade 3 3" xfId="4906"/>
    <cellStyle name="shade 3 3 2" xfId="7758"/>
    <cellStyle name="shade 3 4" xfId="4907"/>
    <cellStyle name="shade 3 4 2" xfId="7759"/>
    <cellStyle name="shade 4" xfId="2989"/>
    <cellStyle name="shade 4 2" xfId="3518"/>
    <cellStyle name="shade 5" xfId="7760"/>
    <cellStyle name="shade_AURORA Total New" xfId="2990"/>
    <cellStyle name="Sheet Title" xfId="2991"/>
    <cellStyle name="StmtTtl1" xfId="2992"/>
    <cellStyle name="StmtTtl1 2" xfId="2993"/>
    <cellStyle name="StmtTtl1 2 2" xfId="4908"/>
    <cellStyle name="StmtTtl1 2 3" xfId="4909"/>
    <cellStyle name="StmtTtl1 3" xfId="2994"/>
    <cellStyle name="StmtTtl1 3 2" xfId="4910"/>
    <cellStyle name="StmtTtl1 3 3" xfId="4911"/>
    <cellStyle name="StmtTtl1 4" xfId="2995"/>
    <cellStyle name="StmtTtl1 4 2" xfId="4912"/>
    <cellStyle name="StmtTtl1 4 3" xfId="4913"/>
    <cellStyle name="StmtTtl1 5" xfId="2996"/>
    <cellStyle name="StmtTtl1 5 2" xfId="3519"/>
    <cellStyle name="StmtTtl1_(C) WHE Proforma with ITC cash grant 10 Yr Amort_for deferral_102809" xfId="2997"/>
    <cellStyle name="StmtTtl2" xfId="2998"/>
    <cellStyle name="StmtTtl2 2" xfId="2999"/>
    <cellStyle name="StmtTtl2 3" xfId="3000"/>
    <cellStyle name="StmtTtl2 3 2" xfId="3520"/>
    <cellStyle name="StmtTtl2 4" xfId="3230"/>
    <cellStyle name="STYL1 - Style1" xfId="3001"/>
    <cellStyle name="Style 1" xfId="3002"/>
    <cellStyle name="Style 1 2" xfId="3003"/>
    <cellStyle name="Style 1 2 2" xfId="3004"/>
    <cellStyle name="Style 1 2 2 2" xfId="7761"/>
    <cellStyle name="Style 1 2 3" xfId="3521"/>
    <cellStyle name="Style 1 3" xfId="3005"/>
    <cellStyle name="Style 1 3 2" xfId="3006"/>
    <cellStyle name="Style 1 3 2 2" xfId="7762"/>
    <cellStyle name="Style 1 3 3" xfId="3007"/>
    <cellStyle name="Style 1 4" xfId="3008"/>
    <cellStyle name="Style 1 4 2" xfId="3009"/>
    <cellStyle name="Style 1 4 2 2" xfId="7763"/>
    <cellStyle name="Style 1 4 3" xfId="7764"/>
    <cellStyle name="Style 1 5" xfId="3010"/>
    <cellStyle name="Style 1 5 2" xfId="3011"/>
    <cellStyle name="Style 1 5 2 2" xfId="7765"/>
    <cellStyle name="Style 1 5 3" xfId="7766"/>
    <cellStyle name="Style 1 6" xfId="3012"/>
    <cellStyle name="Style 1 6 2" xfId="3013"/>
    <cellStyle name="Style 1 6 2 2" xfId="7767"/>
    <cellStyle name="Style 1 6 3" xfId="3014"/>
    <cellStyle name="Style 1 6 4" xfId="3015"/>
    <cellStyle name="Style 1 6 5" xfId="3016"/>
    <cellStyle name="Style 1 7" xfId="3231"/>
    <cellStyle name="Style 1_04.07E Wild Horse Wind Expansion" xfId="3017"/>
    <cellStyle name="Subtotal" xfId="3018"/>
    <cellStyle name="Sub-total" xfId="3019"/>
    <cellStyle name="Test" xfId="3119"/>
    <cellStyle name="Title" xfId="3020" builtinId="15" customBuiltin="1"/>
    <cellStyle name="Title 2" xfId="3021"/>
    <cellStyle name="Title 2 2" xfId="3022"/>
    <cellStyle name="Title 2 3" xfId="3522"/>
    <cellStyle name="Title 3" xfId="3023"/>
    <cellStyle name="Title 3 2" xfId="4914"/>
    <cellStyle name="Title 3 3" xfId="7768"/>
    <cellStyle name="Title 3 4" xfId="7769"/>
    <cellStyle name="Title: - Style3" xfId="3120"/>
    <cellStyle name="Title: - Style4" xfId="3121"/>
    <cellStyle name="Title: Major" xfId="3024"/>
    <cellStyle name="Title: Minor" xfId="3025"/>
    <cellStyle name="Title: Minor 2" xfId="3026"/>
    <cellStyle name="Title: Minor_Electric Rev Req Model (2009 GRC) Rebuttal" xfId="3122"/>
    <cellStyle name="Title: Worksheet" xfId="3027"/>
    <cellStyle name="Total" xfId="3028" builtinId="25" customBuiltin="1"/>
    <cellStyle name="Total 2" xfId="3029"/>
    <cellStyle name="Total 2 2" xfId="3030"/>
    <cellStyle name="Total 2 2 2" xfId="3233"/>
    <cellStyle name="Total 2 3" xfId="3523"/>
    <cellStyle name="Total 2 3 2" xfId="4915"/>
    <cellStyle name="Total 2 3 3" xfId="7770"/>
    <cellStyle name="Total 2 3 4" xfId="7771"/>
    <cellStyle name="Total 3" xfId="3031"/>
    <cellStyle name="Total 3 2" xfId="4916"/>
    <cellStyle name="Total 3 3" xfId="7772"/>
    <cellStyle name="Total 3 4" xfId="7773"/>
    <cellStyle name="Total 4" xfId="3032"/>
    <cellStyle name="Total 4 2" xfId="3524"/>
    <cellStyle name="Total 5" xfId="3232"/>
    <cellStyle name="Total4 - Style4" xfId="3033"/>
    <cellStyle name="Total4 - Style4 2" xfId="3123"/>
    <cellStyle name="Total4 - Style4_Electric Rev Req Model (2009 GRC) Rebuttal" xfId="3124"/>
    <cellStyle name="Warning Text" xfId="3034" builtinId="11" customBuiltin="1"/>
    <cellStyle name="Warning Text 2" xfId="3035"/>
    <cellStyle name="Warning Text 2 2" xfId="3036"/>
    <cellStyle name="Warning Text 2 3" xfId="3525"/>
    <cellStyle name="Warning Text 3" xfId="3037"/>
  </cellStyles>
  <dxfs count="9">
    <dxf>
      <font>
        <condense val="0"/>
        <extend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 macro="" textlink="">
      <xdr:nvSpPr>
        <xdr:cNvPr id="25731" name="Line 2"/>
        <xdr:cNvSpPr>
          <a:spLocks noChangeShapeType="1"/>
        </xdr:cNvSpPr>
      </xdr:nvSpPr>
      <xdr:spPr bwMode="auto">
        <a:xfrm flipH="1">
          <a:off x="3362325" y="117062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  <row r="6">
          <cell r="A6" t="str">
            <v xml:space="preserve">PUGET SOUND ENERGY-GAS </v>
          </cell>
        </row>
        <row r="9">
          <cell r="A9" t="str">
            <v>GENERAL RATE INCREASE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 xml:space="preserve"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KlamathPeaker</v>
          </cell>
          <cell r="C86" t="str">
            <v>KlamathPeaker</v>
          </cell>
          <cell r="D86">
            <v>555</v>
          </cell>
        </row>
        <row r="87">
          <cell r="B87" t="str">
            <v>Sch91Contracts</v>
          </cell>
          <cell r="C87" t="str">
            <v>Sch91Contracts</v>
          </cell>
          <cell r="D87">
            <v>555</v>
          </cell>
        </row>
        <row r="88">
          <cell r="B88" t="str">
            <v>JPMorgan Ventures Energy Corp 09-2013</v>
          </cell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18" Type="http://schemas.openxmlformats.org/officeDocument/2006/relationships/printerSettings" Target="../printerSettings/printerSettings75.bin"/><Relationship Id="rId26" Type="http://schemas.openxmlformats.org/officeDocument/2006/relationships/printerSettings" Target="../printerSettings/printerSettings83.bin"/><Relationship Id="rId39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60.bin"/><Relationship Id="rId21" Type="http://schemas.openxmlformats.org/officeDocument/2006/relationships/printerSettings" Target="../printerSettings/printerSettings78.bin"/><Relationship Id="rId34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17" Type="http://schemas.openxmlformats.org/officeDocument/2006/relationships/printerSettings" Target="../printerSettings/printerSettings74.bin"/><Relationship Id="rId25" Type="http://schemas.openxmlformats.org/officeDocument/2006/relationships/printerSettings" Target="../printerSettings/printerSettings82.bin"/><Relationship Id="rId33" Type="http://schemas.openxmlformats.org/officeDocument/2006/relationships/printerSettings" Target="../printerSettings/printerSettings90.bin"/><Relationship Id="rId38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59.bin"/><Relationship Id="rId16" Type="http://schemas.openxmlformats.org/officeDocument/2006/relationships/printerSettings" Target="../printerSettings/printerSettings73.bin"/><Relationship Id="rId20" Type="http://schemas.openxmlformats.org/officeDocument/2006/relationships/printerSettings" Target="../printerSettings/printerSettings77.bin"/><Relationship Id="rId29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24" Type="http://schemas.openxmlformats.org/officeDocument/2006/relationships/printerSettings" Target="../printerSettings/printerSettings81.bin"/><Relationship Id="rId32" Type="http://schemas.openxmlformats.org/officeDocument/2006/relationships/printerSettings" Target="../printerSettings/printerSettings89.bin"/><Relationship Id="rId37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23" Type="http://schemas.openxmlformats.org/officeDocument/2006/relationships/printerSettings" Target="../printerSettings/printerSettings80.bin"/><Relationship Id="rId28" Type="http://schemas.openxmlformats.org/officeDocument/2006/relationships/printerSettings" Target="../printerSettings/printerSettings85.bin"/><Relationship Id="rId36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67.bin"/><Relationship Id="rId19" Type="http://schemas.openxmlformats.org/officeDocument/2006/relationships/printerSettings" Target="../printerSettings/printerSettings76.bin"/><Relationship Id="rId31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Relationship Id="rId22" Type="http://schemas.openxmlformats.org/officeDocument/2006/relationships/printerSettings" Target="../printerSettings/printerSettings79.bin"/><Relationship Id="rId27" Type="http://schemas.openxmlformats.org/officeDocument/2006/relationships/printerSettings" Target="../printerSettings/printerSettings84.bin"/><Relationship Id="rId30" Type="http://schemas.openxmlformats.org/officeDocument/2006/relationships/printerSettings" Target="../printerSettings/printerSettings87.bin"/><Relationship Id="rId35" Type="http://schemas.openxmlformats.org/officeDocument/2006/relationships/printerSettings" Target="../printerSettings/printerSettings9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13" Type="http://schemas.openxmlformats.org/officeDocument/2006/relationships/printerSettings" Target="../printerSettings/printerSettings109.bin"/><Relationship Id="rId18" Type="http://schemas.openxmlformats.org/officeDocument/2006/relationships/printerSettings" Target="../printerSettings/printerSettings114.bin"/><Relationship Id="rId26" Type="http://schemas.openxmlformats.org/officeDocument/2006/relationships/printerSettings" Target="../printerSettings/printerSettings122.bin"/><Relationship Id="rId39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99.bin"/><Relationship Id="rId21" Type="http://schemas.openxmlformats.org/officeDocument/2006/relationships/printerSettings" Target="../printerSettings/printerSettings117.bin"/><Relationship Id="rId34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17" Type="http://schemas.openxmlformats.org/officeDocument/2006/relationships/printerSettings" Target="../printerSettings/printerSettings113.bin"/><Relationship Id="rId25" Type="http://schemas.openxmlformats.org/officeDocument/2006/relationships/printerSettings" Target="../printerSettings/printerSettings121.bin"/><Relationship Id="rId33" Type="http://schemas.openxmlformats.org/officeDocument/2006/relationships/printerSettings" Target="../printerSettings/printerSettings129.bin"/><Relationship Id="rId38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98.bin"/><Relationship Id="rId16" Type="http://schemas.openxmlformats.org/officeDocument/2006/relationships/printerSettings" Target="../printerSettings/printerSettings112.bin"/><Relationship Id="rId20" Type="http://schemas.openxmlformats.org/officeDocument/2006/relationships/printerSettings" Target="../printerSettings/printerSettings116.bin"/><Relationship Id="rId29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24" Type="http://schemas.openxmlformats.org/officeDocument/2006/relationships/printerSettings" Target="../printerSettings/printerSettings120.bin"/><Relationship Id="rId32" Type="http://schemas.openxmlformats.org/officeDocument/2006/relationships/printerSettings" Target="../printerSettings/printerSettings128.bin"/><Relationship Id="rId37" Type="http://schemas.openxmlformats.org/officeDocument/2006/relationships/printerSettings" Target="../printerSettings/printerSettings133.bin"/><Relationship Id="rId5" Type="http://schemas.openxmlformats.org/officeDocument/2006/relationships/printerSettings" Target="../printerSettings/printerSettings101.bin"/><Relationship Id="rId15" Type="http://schemas.openxmlformats.org/officeDocument/2006/relationships/printerSettings" Target="../printerSettings/printerSettings111.bin"/><Relationship Id="rId23" Type="http://schemas.openxmlformats.org/officeDocument/2006/relationships/printerSettings" Target="../printerSettings/printerSettings119.bin"/><Relationship Id="rId28" Type="http://schemas.openxmlformats.org/officeDocument/2006/relationships/printerSettings" Target="../printerSettings/printerSettings124.bin"/><Relationship Id="rId36" Type="http://schemas.openxmlformats.org/officeDocument/2006/relationships/printerSettings" Target="../printerSettings/printerSettings132.bin"/><Relationship Id="rId10" Type="http://schemas.openxmlformats.org/officeDocument/2006/relationships/printerSettings" Target="../printerSettings/printerSettings106.bin"/><Relationship Id="rId19" Type="http://schemas.openxmlformats.org/officeDocument/2006/relationships/printerSettings" Target="../printerSettings/printerSettings115.bin"/><Relationship Id="rId31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Relationship Id="rId14" Type="http://schemas.openxmlformats.org/officeDocument/2006/relationships/printerSettings" Target="../printerSettings/printerSettings110.bin"/><Relationship Id="rId22" Type="http://schemas.openxmlformats.org/officeDocument/2006/relationships/printerSettings" Target="../printerSettings/printerSettings118.bin"/><Relationship Id="rId27" Type="http://schemas.openxmlformats.org/officeDocument/2006/relationships/printerSettings" Target="../printerSettings/printerSettings123.bin"/><Relationship Id="rId30" Type="http://schemas.openxmlformats.org/officeDocument/2006/relationships/printerSettings" Target="../printerSettings/printerSettings126.bin"/><Relationship Id="rId35" Type="http://schemas.openxmlformats.org/officeDocument/2006/relationships/printerSettings" Target="../printerSettings/printerSettings1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6.bin"/><Relationship Id="rId13" Type="http://schemas.openxmlformats.org/officeDocument/2006/relationships/printerSettings" Target="../printerSettings/printerSettings151.bin"/><Relationship Id="rId18" Type="http://schemas.openxmlformats.org/officeDocument/2006/relationships/printerSettings" Target="../printerSettings/printerSettings156.bin"/><Relationship Id="rId26" Type="http://schemas.openxmlformats.org/officeDocument/2006/relationships/printerSettings" Target="../printerSettings/printerSettings164.bin"/><Relationship Id="rId39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41.bin"/><Relationship Id="rId21" Type="http://schemas.openxmlformats.org/officeDocument/2006/relationships/printerSettings" Target="../printerSettings/printerSettings159.bin"/><Relationship Id="rId34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45.bin"/><Relationship Id="rId12" Type="http://schemas.openxmlformats.org/officeDocument/2006/relationships/printerSettings" Target="../printerSettings/printerSettings150.bin"/><Relationship Id="rId17" Type="http://schemas.openxmlformats.org/officeDocument/2006/relationships/printerSettings" Target="../printerSettings/printerSettings155.bin"/><Relationship Id="rId25" Type="http://schemas.openxmlformats.org/officeDocument/2006/relationships/printerSettings" Target="../printerSettings/printerSettings163.bin"/><Relationship Id="rId33" Type="http://schemas.openxmlformats.org/officeDocument/2006/relationships/printerSettings" Target="../printerSettings/printerSettings171.bin"/><Relationship Id="rId38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40.bin"/><Relationship Id="rId16" Type="http://schemas.openxmlformats.org/officeDocument/2006/relationships/printerSettings" Target="../printerSettings/printerSettings154.bin"/><Relationship Id="rId20" Type="http://schemas.openxmlformats.org/officeDocument/2006/relationships/printerSettings" Target="../printerSettings/printerSettings158.bin"/><Relationship Id="rId29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11" Type="http://schemas.openxmlformats.org/officeDocument/2006/relationships/printerSettings" Target="../printerSettings/printerSettings149.bin"/><Relationship Id="rId24" Type="http://schemas.openxmlformats.org/officeDocument/2006/relationships/printerSettings" Target="../printerSettings/printerSettings162.bin"/><Relationship Id="rId32" Type="http://schemas.openxmlformats.org/officeDocument/2006/relationships/printerSettings" Target="../printerSettings/printerSettings170.bin"/><Relationship Id="rId37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43.bin"/><Relationship Id="rId15" Type="http://schemas.openxmlformats.org/officeDocument/2006/relationships/printerSettings" Target="../printerSettings/printerSettings153.bin"/><Relationship Id="rId23" Type="http://schemas.openxmlformats.org/officeDocument/2006/relationships/printerSettings" Target="../printerSettings/printerSettings161.bin"/><Relationship Id="rId28" Type="http://schemas.openxmlformats.org/officeDocument/2006/relationships/printerSettings" Target="../printerSettings/printerSettings166.bin"/><Relationship Id="rId36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48.bin"/><Relationship Id="rId19" Type="http://schemas.openxmlformats.org/officeDocument/2006/relationships/printerSettings" Target="../printerSettings/printerSettings157.bin"/><Relationship Id="rId31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42.bin"/><Relationship Id="rId9" Type="http://schemas.openxmlformats.org/officeDocument/2006/relationships/printerSettings" Target="../printerSettings/printerSettings147.bin"/><Relationship Id="rId14" Type="http://schemas.openxmlformats.org/officeDocument/2006/relationships/printerSettings" Target="../printerSettings/printerSettings152.bin"/><Relationship Id="rId22" Type="http://schemas.openxmlformats.org/officeDocument/2006/relationships/printerSettings" Target="../printerSettings/printerSettings160.bin"/><Relationship Id="rId27" Type="http://schemas.openxmlformats.org/officeDocument/2006/relationships/printerSettings" Target="../printerSettings/printerSettings165.bin"/><Relationship Id="rId30" Type="http://schemas.openxmlformats.org/officeDocument/2006/relationships/printerSettings" Target="../printerSettings/printerSettings168.bin"/><Relationship Id="rId35" Type="http://schemas.openxmlformats.org/officeDocument/2006/relationships/printerSettings" Target="../printerSettings/printerSettings173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5.bin"/><Relationship Id="rId13" Type="http://schemas.openxmlformats.org/officeDocument/2006/relationships/printerSettings" Target="../printerSettings/printerSettings190.bin"/><Relationship Id="rId18" Type="http://schemas.openxmlformats.org/officeDocument/2006/relationships/printerSettings" Target="../printerSettings/printerSettings195.bin"/><Relationship Id="rId26" Type="http://schemas.openxmlformats.org/officeDocument/2006/relationships/printerSettings" Target="../printerSettings/printerSettings203.bin"/><Relationship Id="rId39" Type="http://schemas.openxmlformats.org/officeDocument/2006/relationships/printerSettings" Target="../printerSettings/printerSettings216.bin"/><Relationship Id="rId3" Type="http://schemas.openxmlformats.org/officeDocument/2006/relationships/printerSettings" Target="../printerSettings/printerSettings180.bin"/><Relationship Id="rId21" Type="http://schemas.openxmlformats.org/officeDocument/2006/relationships/printerSettings" Target="../printerSettings/printerSettings198.bin"/><Relationship Id="rId34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184.bin"/><Relationship Id="rId12" Type="http://schemas.openxmlformats.org/officeDocument/2006/relationships/printerSettings" Target="../printerSettings/printerSettings189.bin"/><Relationship Id="rId17" Type="http://schemas.openxmlformats.org/officeDocument/2006/relationships/printerSettings" Target="../printerSettings/printerSettings194.bin"/><Relationship Id="rId25" Type="http://schemas.openxmlformats.org/officeDocument/2006/relationships/printerSettings" Target="../printerSettings/printerSettings202.bin"/><Relationship Id="rId33" Type="http://schemas.openxmlformats.org/officeDocument/2006/relationships/printerSettings" Target="../printerSettings/printerSettings210.bin"/><Relationship Id="rId38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179.bin"/><Relationship Id="rId16" Type="http://schemas.openxmlformats.org/officeDocument/2006/relationships/printerSettings" Target="../printerSettings/printerSettings193.bin"/><Relationship Id="rId20" Type="http://schemas.openxmlformats.org/officeDocument/2006/relationships/printerSettings" Target="../printerSettings/printerSettings197.bin"/><Relationship Id="rId29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11" Type="http://schemas.openxmlformats.org/officeDocument/2006/relationships/printerSettings" Target="../printerSettings/printerSettings188.bin"/><Relationship Id="rId24" Type="http://schemas.openxmlformats.org/officeDocument/2006/relationships/printerSettings" Target="../printerSettings/printerSettings201.bin"/><Relationship Id="rId32" Type="http://schemas.openxmlformats.org/officeDocument/2006/relationships/printerSettings" Target="../printerSettings/printerSettings209.bin"/><Relationship Id="rId37" Type="http://schemas.openxmlformats.org/officeDocument/2006/relationships/printerSettings" Target="../printerSettings/printerSettings214.bin"/><Relationship Id="rId5" Type="http://schemas.openxmlformats.org/officeDocument/2006/relationships/printerSettings" Target="../printerSettings/printerSettings182.bin"/><Relationship Id="rId15" Type="http://schemas.openxmlformats.org/officeDocument/2006/relationships/printerSettings" Target="../printerSettings/printerSettings192.bin"/><Relationship Id="rId23" Type="http://schemas.openxmlformats.org/officeDocument/2006/relationships/printerSettings" Target="../printerSettings/printerSettings200.bin"/><Relationship Id="rId28" Type="http://schemas.openxmlformats.org/officeDocument/2006/relationships/printerSettings" Target="../printerSettings/printerSettings205.bin"/><Relationship Id="rId36" Type="http://schemas.openxmlformats.org/officeDocument/2006/relationships/printerSettings" Target="../printerSettings/printerSettings213.bin"/><Relationship Id="rId10" Type="http://schemas.openxmlformats.org/officeDocument/2006/relationships/printerSettings" Target="../printerSettings/printerSettings187.bin"/><Relationship Id="rId19" Type="http://schemas.openxmlformats.org/officeDocument/2006/relationships/printerSettings" Target="../printerSettings/printerSettings196.bin"/><Relationship Id="rId31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181.bin"/><Relationship Id="rId9" Type="http://schemas.openxmlformats.org/officeDocument/2006/relationships/printerSettings" Target="../printerSettings/printerSettings186.bin"/><Relationship Id="rId14" Type="http://schemas.openxmlformats.org/officeDocument/2006/relationships/printerSettings" Target="../printerSettings/printerSettings191.bin"/><Relationship Id="rId22" Type="http://schemas.openxmlformats.org/officeDocument/2006/relationships/printerSettings" Target="../printerSettings/printerSettings199.bin"/><Relationship Id="rId27" Type="http://schemas.openxmlformats.org/officeDocument/2006/relationships/printerSettings" Target="../printerSettings/printerSettings204.bin"/><Relationship Id="rId30" Type="http://schemas.openxmlformats.org/officeDocument/2006/relationships/printerSettings" Target="../printerSettings/printerSettings207.bin"/><Relationship Id="rId35" Type="http://schemas.openxmlformats.org/officeDocument/2006/relationships/printerSettings" Target="../printerSettings/printerSettings2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26" Type="http://schemas.openxmlformats.org/officeDocument/2006/relationships/printerSettings" Target="../printerSettings/printerSettings29.bin"/><Relationship Id="rId39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34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5" Type="http://schemas.openxmlformats.org/officeDocument/2006/relationships/printerSettings" Target="../printerSettings/printerSettings28.bin"/><Relationship Id="rId33" Type="http://schemas.openxmlformats.org/officeDocument/2006/relationships/printerSettings" Target="../printerSettings/printerSettings36.bin"/><Relationship Id="rId38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29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24" Type="http://schemas.openxmlformats.org/officeDocument/2006/relationships/printerSettings" Target="../printerSettings/printerSettings27.bin"/><Relationship Id="rId32" Type="http://schemas.openxmlformats.org/officeDocument/2006/relationships/printerSettings" Target="../printerSettings/printerSettings35.bin"/><Relationship Id="rId37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28" Type="http://schemas.openxmlformats.org/officeDocument/2006/relationships/printerSettings" Target="../printerSettings/printerSettings31.bin"/><Relationship Id="rId36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3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Relationship Id="rId27" Type="http://schemas.openxmlformats.org/officeDocument/2006/relationships/printerSettings" Target="../printerSettings/printerSettings30.bin"/><Relationship Id="rId30" Type="http://schemas.openxmlformats.org/officeDocument/2006/relationships/printerSettings" Target="../printerSettings/printerSettings33.bin"/><Relationship Id="rId35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111">
    <pageSetUpPr autoPageBreaks="0" fitToPage="1"/>
  </sheetPr>
  <dimension ref="A1:L83"/>
  <sheetViews>
    <sheetView tabSelected="1" zoomScale="85" zoomScaleNormal="85" workbookViewId="0">
      <pane xSplit="2" ySplit="4" topLeftCell="C8" activePane="bottomRight" state="frozen"/>
      <selection activeCell="D37" sqref="D37"/>
      <selection pane="topRight" activeCell="D37" sqref="D37"/>
      <selection pane="bottomLeft" activeCell="D37" sqref="D37"/>
      <selection pane="bottomRight" activeCell="D25" sqref="D25"/>
    </sheetView>
  </sheetViews>
  <sheetFormatPr defaultColWidth="10.6640625" defaultRowHeight="15"/>
  <cols>
    <col min="1" max="1" width="9.33203125" style="1171" bestFit="1" customWidth="1"/>
    <col min="2" max="2" width="43.1640625" style="1143" customWidth="1"/>
    <col min="3" max="3" width="11.1640625" style="1143" customWidth="1"/>
    <col min="4" max="4" width="21.5" style="1143" customWidth="1"/>
    <col min="5" max="5" width="15.83203125" style="1143" customWidth="1"/>
    <col min="6" max="7" width="3.6640625" style="1143" customWidth="1"/>
    <col min="8" max="8" width="17.1640625" style="1172" customWidth="1"/>
    <col min="9" max="9" width="15.83203125" style="1172" customWidth="1"/>
    <col min="10" max="10" width="16.33203125" style="1172" customWidth="1"/>
    <col min="11" max="11" width="14.83203125" style="1172" customWidth="1"/>
    <col min="12" max="12" width="3.6640625" style="1143" customWidth="1"/>
    <col min="13" max="16384" width="10.6640625" style="1143"/>
  </cols>
  <sheetData>
    <row r="1" spans="1:12" ht="16.5" thickBot="1">
      <c r="A1" s="1140"/>
      <c r="B1" s="1141"/>
      <c r="C1" s="1141"/>
      <c r="D1" s="1141"/>
      <c r="E1" s="1141"/>
      <c r="F1" s="1141"/>
      <c r="G1" s="1141"/>
      <c r="H1" s="1142"/>
      <c r="I1" s="1142"/>
      <c r="J1" s="1142" t="str">
        <f>DocketNumber</f>
        <v>Docket Number UE-111048</v>
      </c>
      <c r="K1" s="1142"/>
      <c r="L1" s="1141"/>
    </row>
    <row r="2" spans="1:12" ht="16.5" thickBot="1">
      <c r="A2" s="1140"/>
      <c r="B2" s="1483" t="s">
        <v>1494</v>
      </c>
      <c r="C2" s="1484"/>
      <c r="D2" s="1484"/>
      <c r="E2" s="1484"/>
      <c r="F2" s="1485"/>
      <c r="I2" s="1142"/>
      <c r="J2" s="1144" t="s">
        <v>1495</v>
      </c>
      <c r="K2" s="1142"/>
      <c r="L2" s="1141"/>
    </row>
    <row r="3" spans="1:12" ht="15.75">
      <c r="A3" s="1145"/>
      <c r="B3" s="1141"/>
      <c r="C3" s="1141"/>
      <c r="D3" s="572"/>
      <c r="E3" s="572"/>
      <c r="G3" s="1017"/>
      <c r="H3" s="572"/>
      <c r="I3" s="1141"/>
      <c r="J3" s="1144" t="s">
        <v>666</v>
      </c>
      <c r="K3" s="1141"/>
      <c r="L3" s="1141"/>
    </row>
    <row r="4" spans="1:12" ht="15.75">
      <c r="A4" s="1145"/>
      <c r="B4" s="1146" t="s">
        <v>177</v>
      </c>
      <c r="C4" s="1145"/>
      <c r="D4" s="1145" t="s">
        <v>335</v>
      </c>
      <c r="E4" s="1147"/>
      <c r="F4" s="1147"/>
      <c r="G4" s="1147"/>
      <c r="H4" s="1148"/>
      <c r="I4" s="1148"/>
      <c r="K4" s="1017"/>
      <c r="L4" s="1141"/>
    </row>
    <row r="5" spans="1:12" ht="15.75">
      <c r="A5" s="1145" t="s">
        <v>178</v>
      </c>
      <c r="B5" s="1149"/>
      <c r="C5" s="1145"/>
      <c r="D5" s="1150" t="s">
        <v>179</v>
      </c>
      <c r="E5" s="1147"/>
      <c r="F5" s="1147"/>
      <c r="G5" s="1147"/>
      <c r="H5" s="1151"/>
      <c r="I5" s="1151"/>
      <c r="J5" s="1151"/>
      <c r="K5" s="1151"/>
      <c r="L5" s="1141"/>
    </row>
    <row r="6" spans="1:12" ht="15.75">
      <c r="A6" s="1145">
        <v>3</v>
      </c>
      <c r="B6" s="1152" t="s">
        <v>180</v>
      </c>
      <c r="C6" s="1145"/>
      <c r="D6" s="1094">
        <f>'JHS-20'!BD105</f>
        <v>305100736.36216122</v>
      </c>
      <c r="E6" s="1147"/>
      <c r="F6" s="1147"/>
      <c r="G6" s="1147"/>
      <c r="H6" s="1148"/>
      <c r="I6" s="1148"/>
      <c r="J6" s="1148"/>
      <c r="K6" s="1148"/>
      <c r="L6" s="1153"/>
    </row>
    <row r="7" spans="1:12" ht="15.75">
      <c r="A7" s="1145">
        <v>4</v>
      </c>
      <c r="B7" s="1152" t="s">
        <v>181</v>
      </c>
      <c r="C7" s="1145"/>
      <c r="D7" s="1154">
        <f>'JHS-25 Ex A-2'!E54</f>
        <v>94699227.839500055</v>
      </c>
      <c r="E7" s="1147"/>
      <c r="F7" s="1147"/>
      <c r="G7" s="1147"/>
      <c r="H7" s="1148"/>
      <c r="I7" s="1148"/>
      <c r="J7" s="1148"/>
      <c r="K7" s="1148"/>
      <c r="L7" s="1153"/>
    </row>
    <row r="8" spans="1:12" ht="15.75">
      <c r="A8" s="1145">
        <v>5</v>
      </c>
      <c r="B8" s="1152" t="s">
        <v>182</v>
      </c>
      <c r="C8" s="1145"/>
      <c r="D8" s="1155">
        <f>'JHS-20'!BD86</f>
        <v>2025749041.2334979</v>
      </c>
      <c r="E8" s="1147"/>
      <c r="F8" s="1147"/>
      <c r="G8" s="1147"/>
      <c r="H8" s="1148"/>
      <c r="I8" s="1148"/>
      <c r="J8" s="1148"/>
      <c r="K8" s="1148"/>
      <c r="L8" s="1153"/>
    </row>
    <row r="9" spans="1:12" ht="15.75">
      <c r="A9" s="1145">
        <v>6</v>
      </c>
      <c r="B9" s="1141"/>
      <c r="C9" s="1141"/>
      <c r="D9" s="1094">
        <f>SUM(D6:D8)</f>
        <v>2425549005.4351592</v>
      </c>
      <c r="E9" s="1147"/>
      <c r="F9" s="1147"/>
      <c r="G9" s="1147"/>
      <c r="H9" s="1156" t="s">
        <v>844</v>
      </c>
      <c r="I9" s="1156"/>
      <c r="J9" s="1156"/>
      <c r="K9" s="1156"/>
      <c r="L9" s="1153"/>
    </row>
    <row r="10" spans="1:12" ht="15.75">
      <c r="A10" s="1145">
        <v>7</v>
      </c>
      <c r="B10" s="1152" t="s">
        <v>183</v>
      </c>
      <c r="C10" s="1145"/>
      <c r="D10" s="1511">
        <f>'JHS-22'!$H$23</f>
        <v>6.7099999999999993E-2</v>
      </c>
      <c r="E10" s="1157"/>
      <c r="F10" s="1147"/>
      <c r="G10" s="1147"/>
      <c r="H10" s="1156" t="s">
        <v>838</v>
      </c>
      <c r="I10" s="1156"/>
      <c r="J10" s="1156"/>
      <c r="K10" s="1156"/>
      <c r="L10" s="1017"/>
    </row>
    <row r="11" spans="1:12" ht="15.75">
      <c r="A11" s="1145">
        <v>8</v>
      </c>
      <c r="B11" s="1152"/>
      <c r="C11" s="1145"/>
      <c r="D11" s="1158"/>
      <c r="E11" s="1145" t="s">
        <v>184</v>
      </c>
      <c r="F11" s="1147"/>
      <c r="G11" s="1147"/>
      <c r="H11" s="1136">
        <f>'Production Factor'!F19</f>
        <v>0.97901000000000005</v>
      </c>
      <c r="I11" s="1017"/>
      <c r="J11" s="1017"/>
      <c r="K11" s="1156"/>
      <c r="L11" s="1017"/>
    </row>
    <row r="12" spans="1:12" ht="15.75">
      <c r="A12" s="1145">
        <v>9</v>
      </c>
      <c r="B12" s="1141"/>
      <c r="C12" s="1141"/>
      <c r="D12" s="1158"/>
      <c r="E12" s="1159" t="s">
        <v>185</v>
      </c>
      <c r="F12" s="1141"/>
      <c r="G12" s="1141"/>
      <c r="H12" s="1160" t="s">
        <v>769</v>
      </c>
      <c r="I12" s="1236" t="s">
        <v>805</v>
      </c>
      <c r="J12" s="1236"/>
      <c r="K12" s="1156"/>
      <c r="L12" s="1017"/>
    </row>
    <row r="13" spans="1:12" ht="15.75">
      <c r="A13" s="1145">
        <v>10</v>
      </c>
      <c r="B13" s="1152" t="s">
        <v>186</v>
      </c>
      <c r="C13" s="1141"/>
      <c r="D13" s="1094">
        <f>(D6*D10)/0.65</f>
        <v>31495783.707540024</v>
      </c>
      <c r="E13" s="1512">
        <f t="shared" ref="E13:E35" si="0">ROUND(D13/$D$39,3)</f>
        <v>1.49</v>
      </c>
      <c r="F13" s="1141"/>
      <c r="G13" s="1141" t="s">
        <v>187</v>
      </c>
      <c r="H13" s="1158"/>
      <c r="I13" s="1148"/>
      <c r="J13" s="1148"/>
      <c r="K13" s="1156"/>
      <c r="L13" s="1017"/>
    </row>
    <row r="14" spans="1:12" ht="15.75">
      <c r="A14" s="1145">
        <v>11</v>
      </c>
      <c r="B14" s="1141" t="s">
        <v>188</v>
      </c>
      <c r="C14" s="1141"/>
      <c r="D14" s="1027">
        <f>D7*D10/0.65</f>
        <v>9775874.1354314666</v>
      </c>
      <c r="E14" s="1161">
        <f t="shared" si="0"/>
        <v>0.46200000000000002</v>
      </c>
      <c r="F14" s="1141" t="s">
        <v>770</v>
      </c>
      <c r="G14" s="1141"/>
      <c r="H14" s="1158">
        <f>D14</f>
        <v>9775874.1354314666</v>
      </c>
      <c r="I14" s="1027">
        <f>H14/12</f>
        <v>814656.17795262218</v>
      </c>
      <c r="J14" s="1027"/>
      <c r="K14" s="1156"/>
      <c r="L14" s="1017"/>
    </row>
    <row r="15" spans="1:12" ht="15.75">
      <c r="A15" s="1145">
        <v>12</v>
      </c>
      <c r="B15" s="1141" t="s">
        <v>189</v>
      </c>
      <c r="C15" s="1141"/>
      <c r="D15" s="1027">
        <f>(D8*D10)/0.65</f>
        <v>209119631.7950272</v>
      </c>
      <c r="E15" s="1161">
        <f t="shared" si="0"/>
        <v>9.891</v>
      </c>
      <c r="F15" s="1141" t="s">
        <v>770</v>
      </c>
      <c r="G15" s="1141"/>
      <c r="H15" s="1158">
        <f>D15/$H$11</f>
        <v>213603162.16895351</v>
      </c>
      <c r="I15" s="1027">
        <f>H15/12</f>
        <v>17800263.514079459</v>
      </c>
      <c r="J15" s="1027">
        <f>SUM(I14:I15)</f>
        <v>18614919.69203208</v>
      </c>
      <c r="K15" s="1156"/>
      <c r="L15" s="1017"/>
    </row>
    <row r="16" spans="1:12" ht="15.75">
      <c r="A16" s="1145">
        <v>13</v>
      </c>
      <c r="B16" s="1141" t="s">
        <v>190</v>
      </c>
      <c r="C16" s="1141"/>
      <c r="D16" s="1158">
        <f>'JHS-20.01(A)'!N18</f>
        <v>87352900.417719007</v>
      </c>
      <c r="E16" s="1161">
        <f t="shared" si="0"/>
        <v>4.1310000000000002</v>
      </c>
      <c r="F16" s="1141"/>
      <c r="G16" s="1141" t="s">
        <v>187</v>
      </c>
      <c r="H16" s="1158"/>
      <c r="I16" s="1158"/>
      <c r="J16" s="1158"/>
      <c r="K16" s="1156"/>
      <c r="L16" s="1017"/>
    </row>
    <row r="17" spans="1:12" ht="15.75">
      <c r="A17" s="1145">
        <v>14</v>
      </c>
      <c r="B17" s="1017" t="s">
        <v>191</v>
      </c>
      <c r="C17" s="1017"/>
      <c r="D17" s="1027">
        <f>'JHS-20.01(A)'!N22+'JHS-20'!BB38+'JHS-20'!BC38</f>
        <v>456637399.69800109</v>
      </c>
      <c r="E17" s="1161">
        <f t="shared" si="0"/>
        <v>21.597000000000001</v>
      </c>
      <c r="F17" s="1141"/>
      <c r="G17" s="1141" t="s">
        <v>187</v>
      </c>
      <c r="H17" s="1158"/>
      <c r="I17" s="1027"/>
      <c r="J17" s="1158"/>
      <c r="K17" s="1156"/>
      <c r="L17" s="1017"/>
    </row>
    <row r="18" spans="1:12" ht="15.75">
      <c r="A18" s="1145">
        <v>15</v>
      </c>
      <c r="B18" s="1017" t="s">
        <v>192</v>
      </c>
      <c r="C18" s="1017"/>
      <c r="D18" s="1027">
        <f>'JHS-20.01(A)'!N24+SUM('JHS-20'!BB15:BC15)</f>
        <v>6598333.8996130517</v>
      </c>
      <c r="E18" s="1161">
        <f t="shared" si="0"/>
        <v>0.312</v>
      </c>
      <c r="F18" s="1141" t="s">
        <v>770</v>
      </c>
      <c r="G18" s="1141"/>
      <c r="H18" s="1158">
        <f>D18/$H$11</f>
        <v>6739802.3509596949</v>
      </c>
      <c r="I18" s="1027">
        <f>H18/12</f>
        <v>561650.19591330795</v>
      </c>
      <c r="J18" s="1158"/>
      <c r="K18" s="1148"/>
      <c r="L18" s="1141"/>
    </row>
    <row r="19" spans="1:12" ht="15.75">
      <c r="A19" s="1145" t="s">
        <v>193</v>
      </c>
      <c r="B19" s="1017" t="s">
        <v>194</v>
      </c>
      <c r="C19" s="1017"/>
      <c r="D19" s="1027">
        <f>SUM('JHS-20'!BB20:BC20)</f>
        <v>4904765.372048947</v>
      </c>
      <c r="E19" s="1161">
        <f t="shared" si="0"/>
        <v>0.23200000000000001</v>
      </c>
      <c r="F19" s="1141" t="s">
        <v>770</v>
      </c>
      <c r="G19" s="1141"/>
      <c r="H19" s="1158">
        <f>D19/$H$11</f>
        <v>5009923.6698797224</v>
      </c>
      <c r="I19" s="1027">
        <f>H19/12</f>
        <v>417493.63915664353</v>
      </c>
      <c r="J19" s="1027"/>
      <c r="K19" s="1017"/>
      <c r="L19" s="1017"/>
    </row>
    <row r="20" spans="1:12" ht="15.75">
      <c r="A20" s="1145" t="s">
        <v>195</v>
      </c>
      <c r="B20" s="1017" t="s">
        <v>196</v>
      </c>
      <c r="C20" s="1017"/>
      <c r="D20" s="1027">
        <f>SUM('JHS-20'!BB21:BC21)+SUM('JHS-20'!BB42:BC42)</f>
        <v>3286695.9431999694</v>
      </c>
      <c r="E20" s="1161">
        <f t="shared" si="0"/>
        <v>0.155</v>
      </c>
      <c r="F20" s="1141" t="s">
        <v>770</v>
      </c>
      <c r="G20" s="1141"/>
      <c r="H20" s="1158">
        <f>D20/$H$11</f>
        <v>3357162.790165544</v>
      </c>
      <c r="I20" s="1027">
        <f>H20/12</f>
        <v>279763.56584712869</v>
      </c>
      <c r="J20" s="1027"/>
      <c r="K20" s="1017"/>
      <c r="L20" s="1017"/>
    </row>
    <row r="21" spans="1:12" ht="15.75">
      <c r="A21" s="1145" t="s">
        <v>197</v>
      </c>
      <c r="B21" s="1017" t="s">
        <v>877</v>
      </c>
      <c r="C21" s="1017"/>
      <c r="D21" s="1027">
        <f>SUM('JHS-20'!BB32:BC32)</f>
        <v>1647660.4314159916</v>
      </c>
      <c r="E21" s="1161">
        <f t="shared" si="0"/>
        <v>7.8E-2</v>
      </c>
      <c r="F21" s="1141" t="s">
        <v>770</v>
      </c>
      <c r="G21" s="1141"/>
      <c r="H21" s="1158">
        <f>D21/$H$11</f>
        <v>1682986.31415</v>
      </c>
      <c r="I21" s="1027">
        <f>H21/12</f>
        <v>140248.8595125</v>
      </c>
      <c r="J21" s="1027"/>
      <c r="K21" s="1017"/>
      <c r="L21" s="1017"/>
    </row>
    <row r="22" spans="1:12" ht="15.75">
      <c r="A22" s="1145" t="s">
        <v>198</v>
      </c>
      <c r="B22" s="1017" t="s">
        <v>199</v>
      </c>
      <c r="C22" s="1017"/>
      <c r="D22" s="1027">
        <f>SUM('JHS-20'!BB33:BC33)</f>
        <v>1979896.8217506055</v>
      </c>
      <c r="E22" s="1161">
        <f t="shared" si="0"/>
        <v>9.4E-2</v>
      </c>
      <c r="F22" s="1141" t="s">
        <v>770</v>
      </c>
      <c r="G22" s="1141"/>
      <c r="H22" s="1158">
        <f>D22/$H$11</f>
        <v>2022345.8613809925</v>
      </c>
      <c r="I22" s="1027">
        <f>H22/12</f>
        <v>168528.82178174937</v>
      </c>
      <c r="J22" s="1027"/>
      <c r="K22" s="1017"/>
      <c r="L22" s="1017"/>
    </row>
    <row r="23" spans="1:12" ht="15.75">
      <c r="A23" s="1145">
        <v>16</v>
      </c>
      <c r="B23" s="1017" t="s">
        <v>200</v>
      </c>
      <c r="C23" s="1017"/>
      <c r="D23" s="1027">
        <f>'JHS-20.01(A)'!N19+SUM('JHS-20'!BB37:BC37)</f>
        <v>181075932.75031257</v>
      </c>
      <c r="E23" s="1161">
        <f t="shared" si="0"/>
        <v>8.5640000000000001</v>
      </c>
      <c r="F23" s="1141"/>
      <c r="G23" s="1141" t="s">
        <v>187</v>
      </c>
      <c r="H23" s="1158"/>
      <c r="I23" s="1027"/>
      <c r="J23" s="1027"/>
      <c r="K23" s="1017"/>
      <c r="L23" s="1017"/>
    </row>
    <row r="24" spans="1:12" ht="15.75">
      <c r="A24" s="1145">
        <v>17</v>
      </c>
      <c r="B24" s="1017" t="s">
        <v>201</v>
      </c>
      <c r="C24" s="1017"/>
      <c r="D24" s="1027">
        <f>'JHS-19'!AM28-H69</f>
        <v>89979229.9233426</v>
      </c>
      <c r="E24" s="1161">
        <f t="shared" si="0"/>
        <v>4.2560000000000002</v>
      </c>
      <c r="F24" s="1141"/>
      <c r="G24" s="1141" t="s">
        <v>187</v>
      </c>
      <c r="H24" s="1158"/>
      <c r="I24" s="1027"/>
      <c r="J24" s="1027"/>
      <c r="K24" s="1017"/>
      <c r="L24" s="1017"/>
    </row>
    <row r="25" spans="1:12" ht="15.75">
      <c r="A25" s="1145">
        <v>18</v>
      </c>
      <c r="B25" s="1017" t="s">
        <v>771</v>
      </c>
      <c r="C25" s="1017"/>
      <c r="D25" s="1158">
        <f>TransmRev!D11*H11</f>
        <v>-5495638.1281608641</v>
      </c>
      <c r="E25" s="1161">
        <f t="shared" si="0"/>
        <v>-0.26</v>
      </c>
      <c r="F25" s="1141"/>
      <c r="G25" s="1141" t="s">
        <v>187</v>
      </c>
      <c r="H25" s="1158"/>
      <c r="I25" s="1027"/>
      <c r="J25" s="1027"/>
      <c r="K25" s="1017"/>
      <c r="L25" s="1017"/>
    </row>
    <row r="26" spans="1:12" ht="15.75">
      <c r="A26" s="1145">
        <v>19</v>
      </c>
      <c r="B26" s="1017" t="s">
        <v>202</v>
      </c>
      <c r="C26" s="1017"/>
      <c r="D26" s="1158">
        <f>'JHS-19'!AP32-H67</f>
        <v>124192550.28452051</v>
      </c>
      <c r="E26" s="1161">
        <f t="shared" si="0"/>
        <v>5.8739999999999997</v>
      </c>
      <c r="F26" s="1141" t="s">
        <v>770</v>
      </c>
      <c r="G26" s="1141"/>
      <c r="H26" s="1158">
        <f>D26/$H$11</f>
        <v>126855241.81011482</v>
      </c>
      <c r="I26" s="1027">
        <f>H26/12</f>
        <v>10571270.150842901</v>
      </c>
      <c r="J26" s="1027">
        <f>SUM(I18:I34)</f>
        <v>23118348.029318973</v>
      </c>
      <c r="K26" s="1162"/>
      <c r="L26" s="1017"/>
    </row>
    <row r="27" spans="1:12" ht="15.75">
      <c r="A27" s="1145">
        <v>20</v>
      </c>
      <c r="B27" s="1017" t="s">
        <v>203</v>
      </c>
      <c r="C27" s="1017"/>
      <c r="D27" s="1158">
        <f>-'JHS-19'!AM19</f>
        <v>-40163723.356444776</v>
      </c>
      <c r="E27" s="1161">
        <f t="shared" si="0"/>
        <v>-1.9</v>
      </c>
      <c r="F27" s="1141"/>
      <c r="G27" s="1141" t="s">
        <v>187</v>
      </c>
      <c r="H27" s="1158"/>
      <c r="I27" s="1027"/>
      <c r="J27" s="1027"/>
      <c r="K27" s="1017"/>
      <c r="L27" s="1017"/>
    </row>
    <row r="28" spans="1:12" s="1163" customFormat="1" ht="15.75">
      <c r="A28" s="1145">
        <v>21</v>
      </c>
      <c r="B28" s="1017" t="s">
        <v>1379</v>
      </c>
      <c r="C28" s="1017"/>
      <c r="D28" s="1027">
        <f>'JHS-20.01(A)'!N34</f>
        <v>0</v>
      </c>
      <c r="E28" s="1161">
        <f t="shared" si="0"/>
        <v>0</v>
      </c>
      <c r="F28" s="1482"/>
      <c r="G28" s="1482" t="s">
        <v>187</v>
      </c>
      <c r="H28" s="1027"/>
      <c r="I28" s="1027"/>
      <c r="J28" s="1027"/>
      <c r="K28" s="1017"/>
      <c r="L28" s="1017"/>
    </row>
    <row r="29" spans="1:12" ht="15.75">
      <c r="A29" s="1145">
        <v>22</v>
      </c>
      <c r="B29" s="1017" t="s">
        <v>204</v>
      </c>
      <c r="C29" s="1017"/>
      <c r="D29" s="1158">
        <f>'JHS-20.01(A)'!N32</f>
        <v>1389836.8613500001</v>
      </c>
      <c r="E29" s="1161">
        <f t="shared" si="0"/>
        <v>6.6000000000000003E-2</v>
      </c>
      <c r="F29" s="1141" t="s">
        <v>770</v>
      </c>
      <c r="G29" s="1141"/>
      <c r="H29" s="1158">
        <f>D29/$H$11</f>
        <v>1419635</v>
      </c>
      <c r="I29" s="1027">
        <f>H29/12</f>
        <v>118302.91666666667</v>
      </c>
      <c r="J29" s="1027"/>
      <c r="K29" s="1017"/>
      <c r="L29" s="1153"/>
    </row>
    <row r="30" spans="1:12" ht="15.75">
      <c r="A30" s="1145">
        <v>23</v>
      </c>
      <c r="B30" s="1017" t="s">
        <v>205</v>
      </c>
      <c r="C30" s="1017"/>
      <c r="D30" s="1158">
        <f>SUM('JHS-20'!BB27:BC27)</f>
        <v>104749684.29750811</v>
      </c>
      <c r="E30" s="1161">
        <f t="shared" si="0"/>
        <v>4.9539999999999997</v>
      </c>
      <c r="F30" s="1141" t="s">
        <v>770</v>
      </c>
      <c r="G30" s="1141"/>
      <c r="H30" s="1158">
        <f>D30/$H$11</f>
        <v>106995520.267932</v>
      </c>
      <c r="I30" s="1027">
        <f>H30/12</f>
        <v>8916293.3556609992</v>
      </c>
      <c r="J30" s="1027"/>
      <c r="K30" s="1017"/>
      <c r="L30" s="1017"/>
    </row>
    <row r="31" spans="1:12" ht="15.75">
      <c r="A31" s="1145">
        <v>24</v>
      </c>
      <c r="B31" s="1149" t="s">
        <v>207</v>
      </c>
      <c r="C31" s="1017"/>
      <c r="D31" s="1158">
        <f>'JHS-25 Ex A-2'!I54</f>
        <v>4091621.9139999999</v>
      </c>
      <c r="E31" s="1161">
        <f t="shared" si="0"/>
        <v>0.19400000000000001</v>
      </c>
      <c r="F31" s="1141" t="s">
        <v>770</v>
      </c>
      <c r="G31" s="1141"/>
      <c r="H31" s="1158">
        <f>D31/$H$11</f>
        <v>4179346.3948274273</v>
      </c>
      <c r="I31" s="1027">
        <f>H31/12</f>
        <v>348278.86623561895</v>
      </c>
      <c r="J31" s="1027"/>
      <c r="K31" s="1017"/>
      <c r="L31" s="1017"/>
    </row>
    <row r="32" spans="1:12" ht="15.75">
      <c r="A32" s="1145">
        <v>25</v>
      </c>
      <c r="B32" s="1017" t="s">
        <v>208</v>
      </c>
      <c r="C32" s="1017"/>
      <c r="D32" s="1027">
        <f>SUM('JHS-20'!BB64+'JHS-20'!BC64)</f>
        <v>20234229.971668106</v>
      </c>
      <c r="E32" s="1161">
        <f t="shared" si="0"/>
        <v>0.95699999999999996</v>
      </c>
      <c r="F32" s="1482"/>
      <c r="G32" s="1482" t="s">
        <v>187</v>
      </c>
      <c r="H32" s="1158"/>
      <c r="I32" s="1027"/>
      <c r="J32" s="1027"/>
      <c r="K32" s="1017"/>
      <c r="L32" s="1017"/>
    </row>
    <row r="33" spans="1:12" ht="15.75">
      <c r="A33" s="1145">
        <v>26</v>
      </c>
      <c r="B33" s="1141" t="s">
        <v>215</v>
      </c>
      <c r="C33" s="1017" t="s">
        <v>939</v>
      </c>
      <c r="D33" s="1027">
        <f>SUM('JHS-20'!BB30:BC31)+SUM('JHS-20'!BB43:BC43)</f>
        <v>15813513.84956</v>
      </c>
      <c r="E33" s="1161">
        <f t="shared" si="0"/>
        <v>0.748</v>
      </c>
      <c r="F33" s="1482" t="s">
        <v>770</v>
      </c>
      <c r="G33" s="1482"/>
      <c r="H33" s="1158">
        <f>D33/$H$11</f>
        <v>16152556</v>
      </c>
      <c r="I33" s="1027">
        <f>H33/12</f>
        <v>1346046.3333333333</v>
      </c>
      <c r="J33" s="1027"/>
      <c r="K33" s="1017"/>
      <c r="L33" s="1017"/>
    </row>
    <row r="34" spans="1:12" ht="15.75">
      <c r="A34" s="1145">
        <f>A33+1</f>
        <v>27</v>
      </c>
      <c r="B34" s="1141" t="s">
        <v>216</v>
      </c>
      <c r="C34" s="1145"/>
      <c r="D34" s="1027">
        <f>'Restated TY'!G34</f>
        <v>2942567.1752356957</v>
      </c>
      <c r="E34" s="1161">
        <f t="shared" si="0"/>
        <v>0.13900000000000001</v>
      </c>
      <c r="F34" s="1482" t="s">
        <v>770</v>
      </c>
      <c r="G34" s="1482"/>
      <c r="H34" s="1158">
        <f>D34/$H$11</f>
        <v>3005655.8924175398</v>
      </c>
      <c r="I34" s="1027">
        <f>H34/12</f>
        <v>250471.32436812832</v>
      </c>
      <c r="J34" s="1027"/>
      <c r="K34" s="1017"/>
      <c r="L34" s="1017"/>
    </row>
    <row r="35" spans="1:12" ht="16.5" thickBot="1">
      <c r="A35" s="1145">
        <f>A34+1</f>
        <v>28</v>
      </c>
      <c r="B35" s="1164" t="s">
        <v>217</v>
      </c>
      <c r="C35" s="1145"/>
      <c r="D35" s="1155">
        <f>'JHS-20.01(A)'!N25</f>
        <v>1420907.408017</v>
      </c>
      <c r="E35" s="1161">
        <f t="shared" si="0"/>
        <v>6.7000000000000004E-2</v>
      </c>
      <c r="F35" s="1482"/>
      <c r="G35" s="1482" t="s">
        <v>187</v>
      </c>
      <c r="H35" s="1155"/>
      <c r="I35" s="1165"/>
      <c r="J35" s="1165"/>
      <c r="K35" s="1148"/>
      <c r="L35" s="1017"/>
    </row>
    <row r="36" spans="1:12" ht="16.5" thickBot="1">
      <c r="A36" s="1145">
        <f>A35+1</f>
        <v>29</v>
      </c>
      <c r="B36" s="1141" t="s">
        <v>218</v>
      </c>
      <c r="C36" s="1017"/>
      <c r="D36" s="1094">
        <f>SUM(D13:D35)</f>
        <v>1313029655.1726561</v>
      </c>
      <c r="E36" s="1513">
        <f>SUM(E13:E35)</f>
        <v>62.101000000000013</v>
      </c>
      <c r="F36" s="1486" t="s">
        <v>773</v>
      </c>
      <c r="G36" s="1486"/>
      <c r="H36" s="1158">
        <f>SUM(H13:H35)</f>
        <v>500799212.65621275</v>
      </c>
      <c r="I36" s="1027">
        <f>SUM(I14:I35)</f>
        <v>41733267.721351065</v>
      </c>
      <c r="J36" s="1027">
        <f>SUM(J15:J35)</f>
        <v>41733267.721351057</v>
      </c>
      <c r="K36" s="1017"/>
      <c r="L36" s="1153"/>
    </row>
    <row r="37" spans="1:12" ht="15.75">
      <c r="A37" s="1145">
        <f t="shared" ref="A37:A49" si="1">A36+1</f>
        <v>30</v>
      </c>
      <c r="B37" s="1141" t="s">
        <v>219</v>
      </c>
      <c r="C37" s="1141"/>
      <c r="D37" s="1237">
        <f>'JHS-22'!M19</f>
        <v>0.95499800000000001</v>
      </c>
      <c r="E37" s="1017"/>
      <c r="F37" s="1141"/>
      <c r="G37" s="1141"/>
      <c r="H37" s="1158"/>
      <c r="I37" s="1148"/>
      <c r="J37" s="1148"/>
      <c r="K37" s="1148"/>
      <c r="L37" s="1017"/>
    </row>
    <row r="38" spans="1:12" ht="15.75">
      <c r="A38" s="1145">
        <f t="shared" si="1"/>
        <v>31</v>
      </c>
      <c r="B38" s="1141"/>
      <c r="C38" s="1141"/>
      <c r="D38" s="1027">
        <f>D36/D37</f>
        <v>1374903041.8625548</v>
      </c>
      <c r="E38" s="1148"/>
      <c r="F38" s="1141"/>
      <c r="G38" s="1141"/>
      <c r="H38" s="1017"/>
      <c r="I38" s="1017"/>
      <c r="J38" s="1017"/>
      <c r="K38" s="1017"/>
      <c r="L38" s="1017"/>
    </row>
    <row r="39" spans="1:12" ht="15.75">
      <c r="A39" s="1145">
        <f t="shared" si="1"/>
        <v>32</v>
      </c>
      <c r="B39" s="1141" t="s">
        <v>220</v>
      </c>
      <c r="C39" s="1141"/>
      <c r="D39" s="1155">
        <f>ROUND('Production Factor'!F16/1000,0)</f>
        <v>21143300</v>
      </c>
      <c r="E39" s="1017" t="s">
        <v>221</v>
      </c>
      <c r="F39" s="1141"/>
      <c r="G39" s="1141"/>
      <c r="H39" s="1148"/>
      <c r="I39" s="1148"/>
      <c r="J39" s="1148"/>
      <c r="K39" s="1148"/>
      <c r="L39" s="1017"/>
    </row>
    <row r="40" spans="1:12" ht="15.75">
      <c r="A40" s="1145">
        <f t="shared" si="1"/>
        <v>33</v>
      </c>
      <c r="B40" s="1164"/>
      <c r="C40" s="1164"/>
      <c r="D40" s="1027"/>
      <c r="E40" s="1017"/>
      <c r="F40" s="1141"/>
      <c r="G40" s="1141"/>
      <c r="H40" s="1148"/>
      <c r="I40" s="1148"/>
      <c r="J40" s="1148"/>
      <c r="K40" s="1148"/>
      <c r="L40" s="1141"/>
    </row>
    <row r="41" spans="1:12" ht="15.75">
      <c r="A41" s="1145">
        <f t="shared" si="1"/>
        <v>34</v>
      </c>
      <c r="B41" s="1164"/>
      <c r="C41" s="1164"/>
      <c r="D41" s="1027"/>
      <c r="E41" s="1017"/>
      <c r="F41" s="1141"/>
      <c r="G41" s="1141"/>
      <c r="H41" s="1148"/>
      <c r="I41" s="1148"/>
      <c r="J41" s="1148"/>
      <c r="K41" s="1148"/>
      <c r="L41" s="1017"/>
    </row>
    <row r="42" spans="1:12" ht="15.75">
      <c r="A42" s="1145">
        <f t="shared" si="1"/>
        <v>35</v>
      </c>
      <c r="B42" s="1164"/>
      <c r="C42" s="1164"/>
      <c r="D42" s="1027"/>
      <c r="E42" s="1017"/>
      <c r="F42" s="1141"/>
      <c r="G42" s="1141"/>
      <c r="H42" s="1148"/>
      <c r="I42" s="1148"/>
      <c r="J42" s="1148"/>
      <c r="K42" s="1148"/>
      <c r="L42" s="1017"/>
    </row>
    <row r="43" spans="1:12" ht="15.75">
      <c r="A43" s="1145">
        <f t="shared" si="1"/>
        <v>36</v>
      </c>
      <c r="B43" s="1164"/>
      <c r="C43" s="1164"/>
      <c r="D43" s="1027" t="s">
        <v>222</v>
      </c>
      <c r="E43" s="1017"/>
      <c r="F43" s="1017"/>
      <c r="G43" s="1256" t="s">
        <v>223</v>
      </c>
      <c r="H43" s="1017"/>
      <c r="I43" s="1017"/>
      <c r="J43" s="1017"/>
      <c r="K43" s="1017"/>
      <c r="L43" s="1017"/>
    </row>
    <row r="44" spans="1:12" ht="15.75">
      <c r="A44" s="1145">
        <f t="shared" si="1"/>
        <v>37</v>
      </c>
      <c r="B44" s="1164"/>
      <c r="C44" s="1164"/>
      <c r="D44" s="1027" t="s">
        <v>224</v>
      </c>
      <c r="E44" s="1017"/>
      <c r="F44" s="1017"/>
      <c r="G44" s="1256" t="s">
        <v>224</v>
      </c>
      <c r="H44" s="1017"/>
      <c r="I44" s="1017"/>
      <c r="J44" s="1017"/>
      <c r="K44" s="1017"/>
      <c r="L44" s="1153"/>
    </row>
    <row r="45" spans="1:12" ht="16.5" customHeight="1">
      <c r="A45" s="1145">
        <f t="shared" si="1"/>
        <v>38</v>
      </c>
      <c r="B45" s="1017" t="s">
        <v>225</v>
      </c>
      <c r="C45" s="1164"/>
      <c r="D45" s="1027"/>
      <c r="E45" s="1017"/>
      <c r="F45" s="1017"/>
      <c r="G45" s="1017"/>
      <c r="H45" s="1017"/>
      <c r="I45" s="1017"/>
      <c r="J45" s="1017"/>
      <c r="K45" s="1017"/>
      <c r="L45" s="1153"/>
    </row>
    <row r="46" spans="1:12" ht="15.75">
      <c r="A46" s="1145">
        <f t="shared" si="1"/>
        <v>39</v>
      </c>
      <c r="B46" s="1164" t="s">
        <v>226</v>
      </c>
      <c r="C46" s="1164"/>
      <c r="D46" s="1512">
        <f>E36</f>
        <v>62.101000000000013</v>
      </c>
      <c r="E46" s="1514">
        <f>+E36/$D$37</f>
        <v>65.027361313845702</v>
      </c>
      <c r="F46" s="1514"/>
      <c r="G46" s="1514"/>
      <c r="H46" s="1017"/>
      <c r="I46" s="1017"/>
      <c r="J46" s="1017"/>
      <c r="K46" s="1017"/>
      <c r="L46" s="1153"/>
    </row>
    <row r="47" spans="1:12" ht="13.5" customHeight="1">
      <c r="A47" s="1145">
        <f t="shared" si="1"/>
        <v>40</v>
      </c>
      <c r="B47" s="1166" t="s">
        <v>227</v>
      </c>
      <c r="C47" s="1164"/>
      <c r="D47" s="1512">
        <f>SUMIF($F$13:$F$35,"(a)",E13:E35)</f>
        <v>23.198999999999995</v>
      </c>
      <c r="E47" s="1515">
        <f>D47/$D$37</f>
        <v>24.292197470570613</v>
      </c>
      <c r="F47" s="1515"/>
      <c r="G47" s="1515"/>
      <c r="H47" s="1017"/>
      <c r="I47" s="1017"/>
      <c r="J47" s="1017"/>
      <c r="K47" s="1017"/>
      <c r="L47" s="1141"/>
    </row>
    <row r="48" spans="1:12" ht="15.75">
      <c r="A48" s="1145">
        <f t="shared" si="1"/>
        <v>41</v>
      </c>
      <c r="B48" s="1164" t="s">
        <v>228</v>
      </c>
      <c r="C48" s="1164"/>
      <c r="D48" s="1512">
        <f>E36</f>
        <v>62.101000000000013</v>
      </c>
      <c r="E48" s="1515">
        <f>D48/$D$37</f>
        <v>65.027361313845702</v>
      </c>
      <c r="F48" s="1515"/>
      <c r="G48" s="1515"/>
      <c r="H48" s="1017"/>
      <c r="I48" s="1017"/>
      <c r="J48" s="1017"/>
      <c r="K48" s="1017"/>
      <c r="L48" s="1141"/>
    </row>
    <row r="49" spans="1:12" ht="15.75">
      <c r="A49" s="1145">
        <f t="shared" si="1"/>
        <v>42</v>
      </c>
      <c r="B49" s="1166" t="s">
        <v>229</v>
      </c>
      <c r="C49" s="1017"/>
      <c r="D49" s="1512">
        <f>SUMIF($G$13:$G$35,"(c)",E13:E35)</f>
        <v>38.902000000000008</v>
      </c>
      <c r="E49" s="1515">
        <f>D49/$D$37</f>
        <v>40.735163843275075</v>
      </c>
      <c r="F49" s="1515"/>
      <c r="G49" s="1515"/>
      <c r="H49" s="1148"/>
      <c r="I49" s="1148"/>
      <c r="J49" s="1148"/>
      <c r="K49" s="1148"/>
      <c r="L49" s="1141"/>
    </row>
    <row r="50" spans="1:12" ht="15.75">
      <c r="A50" s="1167"/>
      <c r="B50" s="1141"/>
      <c r="C50" s="1141"/>
      <c r="D50" s="1153"/>
      <c r="E50" s="1141"/>
      <c r="F50" s="1141"/>
      <c r="G50" s="1141"/>
      <c r="H50" s="1148"/>
      <c r="I50" s="1148"/>
      <c r="J50" s="1148"/>
      <c r="K50" s="1148"/>
      <c r="L50" s="1141"/>
    </row>
    <row r="51" spans="1:12" ht="15.75">
      <c r="A51" s="1145"/>
      <c r="B51" s="1141"/>
      <c r="C51" s="1141"/>
      <c r="D51" s="1153"/>
      <c r="E51" s="1141"/>
      <c r="F51" s="1141"/>
      <c r="G51" s="1141"/>
      <c r="H51" s="1148"/>
      <c r="I51" s="1148"/>
      <c r="J51" s="1148"/>
      <c r="K51" s="1148"/>
      <c r="L51" s="1141"/>
    </row>
    <row r="52" spans="1:12" ht="15.75">
      <c r="A52" s="1145"/>
      <c r="B52" s="1141"/>
      <c r="C52" s="1141"/>
      <c r="D52" s="1094"/>
      <c r="E52" s="1141"/>
      <c r="F52" s="1141"/>
      <c r="G52" s="1141"/>
      <c r="H52" s="1148"/>
      <c r="I52" s="1148"/>
      <c r="J52" s="1148"/>
      <c r="K52" s="1148"/>
      <c r="L52" s="1141"/>
    </row>
    <row r="53" spans="1:12" ht="15.75" hidden="1">
      <c r="A53" s="1145"/>
      <c r="B53" s="1141"/>
      <c r="C53" s="1141"/>
      <c r="D53" s="1153"/>
      <c r="E53" s="1141"/>
      <c r="F53" s="1141"/>
      <c r="G53" s="1141"/>
      <c r="H53" s="1148"/>
      <c r="I53" s="1148"/>
      <c r="J53" s="1148"/>
      <c r="K53" s="1148"/>
      <c r="L53" s="1141"/>
    </row>
    <row r="54" spans="1:12" ht="15.75" hidden="1">
      <c r="A54" s="1145"/>
      <c r="B54" s="1141"/>
      <c r="C54" s="1141"/>
      <c r="H54" s="1168" t="s">
        <v>335</v>
      </c>
      <c r="I54" s="1141" t="s">
        <v>617</v>
      </c>
      <c r="J54" s="1141"/>
      <c r="K54" s="1141"/>
      <c r="L54" s="1141"/>
    </row>
    <row r="55" spans="1:12" ht="15.75" hidden="1">
      <c r="A55" s="1145"/>
      <c r="B55" s="1166" t="s">
        <v>662</v>
      </c>
      <c r="C55" s="1141"/>
      <c r="H55" s="1306"/>
      <c r="I55" s="1027">
        <f>H55</f>
        <v>0</v>
      </c>
      <c r="J55" s="1169">
        <v>555</v>
      </c>
      <c r="K55" s="1141"/>
      <c r="L55" s="1141"/>
    </row>
    <row r="56" spans="1:12" ht="15.75" hidden="1">
      <c r="A56" s="1145"/>
      <c r="B56" s="1166" t="s">
        <v>679</v>
      </c>
      <c r="C56" s="1141"/>
      <c r="H56" s="1306"/>
      <c r="I56" s="1027"/>
      <c r="J56" s="1170"/>
      <c r="K56" s="1141"/>
      <c r="L56" s="1141"/>
    </row>
    <row r="57" spans="1:12" ht="15.75" hidden="1">
      <c r="A57" s="1145"/>
      <c r="B57" s="1166" t="s">
        <v>1387</v>
      </c>
      <c r="C57" s="1141"/>
      <c r="H57" s="1306"/>
      <c r="I57" s="1027">
        <f>H57</f>
        <v>0</v>
      </c>
      <c r="J57" s="1169"/>
      <c r="K57" s="1141"/>
      <c r="L57" s="1141"/>
    </row>
    <row r="58" spans="1:12" ht="15.75" hidden="1">
      <c r="A58" s="1145"/>
      <c r="B58" s="1166" t="s">
        <v>680</v>
      </c>
      <c r="C58" s="1141"/>
      <c r="H58" s="1306"/>
      <c r="I58" s="1027">
        <f>H58</f>
        <v>0</v>
      </c>
      <c r="J58" s="1169">
        <v>565</v>
      </c>
      <c r="K58" s="1141"/>
      <c r="L58" s="1141"/>
    </row>
    <row r="59" spans="1:12" ht="15.75" hidden="1">
      <c r="A59" s="1145"/>
      <c r="B59" s="1166" t="s">
        <v>681</v>
      </c>
      <c r="C59" s="1141"/>
      <c r="H59" s="1306"/>
      <c r="I59" s="1027"/>
      <c r="J59" s="1170"/>
      <c r="K59" s="1141"/>
      <c r="L59" s="1141"/>
    </row>
    <row r="60" spans="1:12" ht="15.75" hidden="1">
      <c r="A60" s="1145"/>
      <c r="B60" s="1166" t="s">
        <v>682</v>
      </c>
      <c r="C60" s="1141"/>
      <c r="H60" s="1306"/>
      <c r="I60" s="1027">
        <f>H60</f>
        <v>0</v>
      </c>
      <c r="J60" s="1169">
        <v>555</v>
      </c>
      <c r="K60" s="1141"/>
      <c r="L60" s="1141"/>
    </row>
    <row r="61" spans="1:12" ht="15.75" hidden="1">
      <c r="A61" s="1145"/>
      <c r="B61" s="1166" t="s">
        <v>736</v>
      </c>
      <c r="C61" s="1141"/>
      <c r="H61" s="1306"/>
      <c r="I61" s="1027">
        <f>H61</f>
        <v>0</v>
      </c>
      <c r="J61" s="1169">
        <v>547</v>
      </c>
      <c r="K61" s="1141"/>
      <c r="L61" s="1141"/>
    </row>
    <row r="62" spans="1:12" ht="15.75" hidden="1">
      <c r="A62" s="1145"/>
      <c r="B62" s="1166" t="s">
        <v>283</v>
      </c>
      <c r="C62" s="1141"/>
      <c r="H62" s="1306"/>
      <c r="I62" s="1027">
        <f>H62</f>
        <v>0</v>
      </c>
      <c r="J62" s="1169">
        <v>547</v>
      </c>
      <c r="K62" s="1141"/>
      <c r="L62" s="1141"/>
    </row>
    <row r="63" spans="1:12" ht="15.75" hidden="1">
      <c r="A63" s="1145"/>
      <c r="B63" s="1166" t="s">
        <v>737</v>
      </c>
      <c r="C63" s="1141"/>
      <c r="H63" s="1306"/>
      <c r="I63" s="1027"/>
      <c r="J63" s="1169"/>
      <c r="K63" s="1141"/>
      <c r="L63" s="1141"/>
    </row>
    <row r="64" spans="1:12" ht="15.75" hidden="1">
      <c r="A64" s="1145"/>
      <c r="B64" s="1166" t="s">
        <v>738</v>
      </c>
      <c r="C64" s="1141"/>
      <c r="H64" s="1306"/>
      <c r="I64" s="1027"/>
      <c r="J64" s="1169"/>
      <c r="K64" s="1141"/>
      <c r="L64" s="1141"/>
    </row>
    <row r="65" spans="1:12" ht="15.75" hidden="1">
      <c r="A65" s="1145"/>
      <c r="B65" s="1166" t="s">
        <v>685</v>
      </c>
      <c r="C65" s="1141"/>
      <c r="H65" s="1306">
        <f>SUM('JHS-20'!BB57:BC57)</f>
        <v>489505.00000000006</v>
      </c>
      <c r="I65" s="1027">
        <f>H65</f>
        <v>489505.00000000006</v>
      </c>
      <c r="J65" s="1169">
        <v>501</v>
      </c>
      <c r="K65" s="1141"/>
      <c r="L65" s="1141"/>
    </row>
    <row r="66" spans="1:12" ht="15.75" hidden="1">
      <c r="A66" s="1145"/>
      <c r="B66" s="1166" t="s">
        <v>284</v>
      </c>
      <c r="C66" s="1141"/>
      <c r="H66" s="1306">
        <f>SUM('JHS-20'!BB58:BC58)</f>
        <v>259589.39655</v>
      </c>
      <c r="I66" s="1027"/>
      <c r="J66" s="1169"/>
      <c r="K66" s="1141"/>
      <c r="L66" s="1141"/>
    </row>
    <row r="67" spans="1:12" ht="15.75" hidden="1">
      <c r="A67" s="1145"/>
      <c r="B67" s="1166" t="s">
        <v>280</v>
      </c>
      <c r="C67" s="1141"/>
      <c r="H67" s="1306">
        <f>SUM('JHS-20'!BB59:BC59)</f>
        <v>149383.08152163043</v>
      </c>
      <c r="I67" s="1240">
        <f>H67</f>
        <v>149383.08152163043</v>
      </c>
      <c r="J67" s="1169" t="s">
        <v>1386</v>
      </c>
      <c r="K67" s="1141"/>
      <c r="L67" s="1141"/>
    </row>
    <row r="68" spans="1:12" ht="15.75" hidden="1">
      <c r="A68" s="1145"/>
      <c r="B68" s="1166" t="s">
        <v>1385</v>
      </c>
      <c r="C68" s="1141"/>
      <c r="H68" s="1306">
        <f>SUM('JHS-20'!BB60:BC60)</f>
        <v>683099.07694053638</v>
      </c>
      <c r="I68" s="1027"/>
      <c r="J68" s="1169"/>
      <c r="K68" s="1141"/>
      <c r="L68" s="1141"/>
    </row>
    <row r="69" spans="1:12" ht="15.75" hidden="1">
      <c r="A69" s="1145"/>
      <c r="B69" s="1166" t="s">
        <v>1388</v>
      </c>
      <c r="C69" s="1141"/>
      <c r="H69" s="1306">
        <f>SUM('JHS-20'!BB61:BC61)</f>
        <v>411382.53289013472</v>
      </c>
      <c r="I69" s="1027">
        <f>H69</f>
        <v>411382.53289013472</v>
      </c>
      <c r="J69" s="1169" t="s">
        <v>1389</v>
      </c>
      <c r="K69" s="1141"/>
      <c r="L69" s="1141"/>
    </row>
    <row r="70" spans="1:12" ht="15.75" hidden="1">
      <c r="A70" s="1145"/>
      <c r="B70" s="1166" t="s">
        <v>1390</v>
      </c>
      <c r="C70" s="1141"/>
      <c r="H70" s="1306">
        <f>SUM('JHS-20'!BB62:BC62)</f>
        <v>4484444.3378381692</v>
      </c>
      <c r="I70" s="1027"/>
      <c r="J70" s="1169"/>
      <c r="K70" s="1141"/>
      <c r="L70" s="1141"/>
    </row>
    <row r="71" spans="1:12" ht="15.75" hidden="1">
      <c r="A71" s="1145"/>
      <c r="B71" s="1166" t="s">
        <v>285</v>
      </c>
      <c r="C71" s="1141"/>
      <c r="H71" s="1306">
        <f>SUM('JHS-20'!BB63:BC63)</f>
        <v>6939287.0927763889</v>
      </c>
      <c r="I71" s="1027">
        <f>H71</f>
        <v>6939287.0927763889</v>
      </c>
      <c r="J71" s="1169">
        <v>555</v>
      </c>
      <c r="K71" s="1148"/>
      <c r="L71" s="1141"/>
    </row>
    <row r="72" spans="1:12" ht="15.75" hidden="1">
      <c r="A72" s="1145"/>
      <c r="B72" s="1166"/>
      <c r="C72" s="1141"/>
      <c r="H72" s="1306">
        <f>SUM(H55:H71)</f>
        <v>13416690.518516861</v>
      </c>
      <c r="I72" s="1027">
        <f>SUM(I55:I71)</f>
        <v>7989557.7071881536</v>
      </c>
      <c r="J72" s="1141"/>
      <c r="K72" s="1148"/>
      <c r="L72" s="1141"/>
    </row>
    <row r="73" spans="1:12" ht="15.75" hidden="1">
      <c r="A73" s="1145"/>
      <c r="B73" s="1141"/>
      <c r="C73" s="1141"/>
      <c r="D73" s="1027"/>
      <c r="E73" s="1141"/>
      <c r="F73" s="1141"/>
      <c r="G73" s="1141"/>
      <c r="H73" s="1148">
        <f>H72-D32</f>
        <v>-6817539.4531512447</v>
      </c>
      <c r="I73" s="1148"/>
      <c r="J73" s="1148"/>
      <c r="K73" s="1148"/>
      <c r="L73" s="1141"/>
    </row>
    <row r="74" spans="1:12" ht="15.75" hidden="1">
      <c r="A74" s="1145"/>
      <c r="B74" s="1141"/>
      <c r="C74" s="1141"/>
      <c r="D74" s="1153"/>
      <c r="E74" s="1141"/>
      <c r="F74" s="1141"/>
      <c r="G74" s="1141"/>
      <c r="H74" s="1148"/>
      <c r="I74" s="1148"/>
      <c r="J74" s="1148"/>
      <c r="K74" s="1148"/>
      <c r="L74" s="1141"/>
    </row>
    <row r="75" spans="1:12" ht="15.75" hidden="1">
      <c r="A75" s="1145"/>
      <c r="B75" s="1141"/>
      <c r="C75" s="1141"/>
      <c r="D75" s="1153"/>
      <c r="E75" s="1141"/>
      <c r="F75" s="1141"/>
      <c r="G75" s="1141"/>
      <c r="H75" s="1148"/>
      <c r="I75" s="1148"/>
      <c r="J75" s="1148"/>
      <c r="K75" s="1148"/>
      <c r="L75" s="1141"/>
    </row>
    <row r="76" spans="1:12" ht="15.75">
      <c r="A76" s="1145"/>
      <c r="B76" s="1141"/>
      <c r="C76" s="1141"/>
      <c r="D76" s="1141"/>
      <c r="E76" s="1141"/>
      <c r="F76" s="1141"/>
      <c r="G76" s="1141"/>
      <c r="H76" s="1148"/>
      <c r="I76" s="1148"/>
      <c r="J76" s="1148"/>
      <c r="K76" s="1148"/>
      <c r="L76" s="1141"/>
    </row>
    <row r="77" spans="1:12" ht="15.75">
      <c r="A77" s="1145"/>
      <c r="B77" s="1141"/>
      <c r="C77" s="1141"/>
      <c r="D77" s="1141"/>
      <c r="E77" s="1141"/>
      <c r="F77" s="1141"/>
      <c r="G77" s="1141"/>
      <c r="H77" s="1148"/>
      <c r="I77" s="1148"/>
      <c r="J77" s="1148"/>
      <c r="K77" s="1148"/>
      <c r="L77" s="1141"/>
    </row>
    <row r="78" spans="1:12" ht="15.75">
      <c r="A78" s="1145"/>
      <c r="B78" s="1141"/>
      <c r="C78" s="1141"/>
      <c r="D78" s="1141"/>
      <c r="E78" s="1141"/>
      <c r="F78" s="1141"/>
      <c r="G78" s="1141"/>
      <c r="H78" s="1148"/>
      <c r="I78" s="1148"/>
      <c r="J78" s="1148"/>
      <c r="K78" s="1148"/>
      <c r="L78" s="1141"/>
    </row>
    <row r="79" spans="1:12" ht="15.75">
      <c r="A79" s="1145"/>
      <c r="B79" s="1141"/>
      <c r="C79" s="1141"/>
      <c r="D79" s="1141"/>
      <c r="E79" s="1141"/>
      <c r="F79" s="1141"/>
      <c r="G79" s="1141"/>
      <c r="H79" s="1148"/>
      <c r="I79" s="1148"/>
      <c r="J79" s="1148"/>
      <c r="K79" s="1148"/>
      <c r="L79" s="1141"/>
    </row>
    <row r="80" spans="1:12" ht="15.75">
      <c r="A80" s="1145"/>
      <c r="B80" s="1141"/>
      <c r="C80" s="1141"/>
      <c r="D80" s="1141"/>
      <c r="E80" s="1141"/>
      <c r="F80" s="1141"/>
      <c r="G80" s="1141"/>
      <c r="H80" s="1148"/>
      <c r="I80" s="1148"/>
      <c r="J80" s="1148"/>
      <c r="K80" s="1148"/>
      <c r="L80" s="1141"/>
    </row>
    <row r="81" spans="1:12" ht="15.75">
      <c r="A81" s="1145"/>
      <c r="B81" s="1141"/>
      <c r="C81" s="1141"/>
      <c r="D81" s="1141"/>
      <c r="E81" s="1141"/>
      <c r="F81" s="1141"/>
      <c r="G81" s="1141"/>
      <c r="H81" s="1148"/>
      <c r="I81" s="1148"/>
      <c r="J81" s="1148"/>
      <c r="K81" s="1148"/>
      <c r="L81" s="1141"/>
    </row>
    <row r="82" spans="1:12" ht="15.75">
      <c r="B82" s="1141"/>
      <c r="C82" s="1141"/>
      <c r="D82" s="1141"/>
      <c r="E82" s="1141"/>
      <c r="F82" s="1141"/>
      <c r="G82" s="1141"/>
      <c r="H82" s="1148"/>
      <c r="I82" s="1148"/>
      <c r="J82" s="1148"/>
    </row>
    <row r="83" spans="1:12" ht="15.75">
      <c r="B83" s="1141"/>
      <c r="C83" s="1141"/>
      <c r="D83" s="1141"/>
      <c r="E83" s="1141"/>
      <c r="F83" s="1141"/>
      <c r="G83" s="1141"/>
      <c r="H83" s="1148"/>
      <c r="I83" s="1148"/>
      <c r="J83" s="1148"/>
    </row>
  </sheetData>
  <mergeCells count="6">
    <mergeCell ref="E47:G47"/>
    <mergeCell ref="E48:G48"/>
    <mergeCell ref="E49:G49"/>
    <mergeCell ref="F36:G36"/>
    <mergeCell ref="E46:G46"/>
    <mergeCell ref="B2:F2"/>
  </mergeCells>
  <phoneticPr fontId="17" type="noConversion"/>
  <printOptions horizontalCentered="1"/>
  <pageMargins left="0.5" right="0.5" top="0.72" bottom="0.71" header="0.5" footer="0.28000000000000003"/>
  <pageSetup scale="76" orientation="portrait" verticalDpi="300" r:id="rId1"/>
  <headerFooter alignWithMargins="0">
    <oddHeader xml:space="preserve">&amp;R&amp;"Helv,Bold"&amp;10
</oddHeader>
    <oddFooter xml:space="preserve"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enableFormatConditionsCalculation="0">
    <pageSetUpPr autoPageBreaks="0"/>
  </sheetPr>
  <dimension ref="A1:X134"/>
  <sheetViews>
    <sheetView topLeftCell="A49" zoomScaleNormal="100" workbookViewId="0">
      <selection activeCell="C71" sqref="C71"/>
    </sheetView>
  </sheetViews>
  <sheetFormatPr defaultColWidth="10.6640625" defaultRowHeight="12.75"/>
  <cols>
    <col min="1" max="1" width="8" customWidth="1"/>
    <col min="2" max="2" width="14.83203125" style="317" customWidth="1"/>
    <col min="3" max="3" width="48" style="317" customWidth="1"/>
    <col min="4" max="4" width="17.33203125" style="317" customWidth="1"/>
    <col min="5" max="5" width="18" style="317" customWidth="1"/>
    <col min="6" max="6" width="18.83203125" style="317" customWidth="1"/>
    <col min="7" max="7" width="19.33203125" style="317" customWidth="1"/>
    <col min="8" max="8" width="19.1640625" style="317" customWidth="1"/>
    <col min="9" max="9" width="18.83203125" style="317" customWidth="1"/>
    <col min="10" max="10" width="20.1640625" style="317" customWidth="1"/>
    <col min="11" max="11" width="15" style="317" bestFit="1" customWidth="1"/>
    <col min="12" max="16384" width="10.6640625" style="317"/>
  </cols>
  <sheetData>
    <row r="1" spans="1:9" ht="19.5" thickBot="1">
      <c r="A1" s="756"/>
      <c r="B1" s="888" t="s">
        <v>1409</v>
      </c>
      <c r="C1" s="105"/>
      <c r="D1" s="105"/>
      <c r="E1" s="1483" t="s">
        <v>1491</v>
      </c>
      <c r="F1" s="1485"/>
      <c r="G1" s="105"/>
      <c r="H1" s="860"/>
      <c r="I1" s="1" t="s">
        <v>1405</v>
      </c>
    </row>
    <row r="2" spans="1:9">
      <c r="A2" s="756" t="s">
        <v>178</v>
      </c>
      <c r="B2" s="889" t="s">
        <v>78</v>
      </c>
      <c r="C2" s="105"/>
      <c r="D2" s="105"/>
      <c r="E2" s="105"/>
      <c r="F2" s="105"/>
      <c r="G2" s="105"/>
      <c r="H2" s="860"/>
      <c r="I2" s="744" t="s">
        <v>1406</v>
      </c>
    </row>
    <row r="3" spans="1:9">
      <c r="A3" s="756">
        <f>ROW()</f>
        <v>3</v>
      </c>
      <c r="B3" s="105"/>
      <c r="C3" s="105" t="s">
        <v>891</v>
      </c>
      <c r="D3" s="890">
        <f>F67</f>
        <v>754943461.38374996</v>
      </c>
      <c r="E3" s="105"/>
      <c r="F3" s="105"/>
      <c r="G3" s="105"/>
      <c r="H3" s="860"/>
      <c r="I3" s="744"/>
    </row>
    <row r="4" spans="1:9">
      <c r="A4" s="756">
        <f>ROW()</f>
        <v>4</v>
      </c>
      <c r="B4" s="105"/>
      <c r="C4" s="105" t="s">
        <v>79</v>
      </c>
      <c r="D4" s="891">
        <f>I67</f>
        <v>-446054900.64999998</v>
      </c>
      <c r="E4" s="105"/>
      <c r="F4" s="105"/>
      <c r="G4" s="105"/>
      <c r="H4" s="860"/>
      <c r="I4" s="744"/>
    </row>
    <row r="5" spans="1:9">
      <c r="A5" s="756">
        <f>ROW()</f>
        <v>5</v>
      </c>
      <c r="B5" s="105"/>
      <c r="C5" s="892" t="s">
        <v>676</v>
      </c>
      <c r="D5" s="893">
        <v>-66724780.999999993</v>
      </c>
      <c r="E5" s="105"/>
      <c r="F5" s="105"/>
      <c r="G5" s="105"/>
      <c r="H5" s="860"/>
      <c r="I5" s="860"/>
    </row>
    <row r="6" spans="1:9">
      <c r="A6" s="756">
        <f>ROW()</f>
        <v>6</v>
      </c>
      <c r="B6" s="105"/>
      <c r="C6" s="105" t="s">
        <v>80</v>
      </c>
      <c r="D6" s="745">
        <f>SUM(D3:D5)</f>
        <v>242163779.73374999</v>
      </c>
      <c r="E6" s="105"/>
      <c r="F6" s="105"/>
      <c r="G6" s="105"/>
      <c r="H6" s="894"/>
      <c r="I6" s="860"/>
    </row>
    <row r="7" spans="1:9" ht="13.5">
      <c r="A7" s="756">
        <f>ROW()</f>
        <v>7</v>
      </c>
      <c r="B7" s="105"/>
      <c r="C7" s="105" t="s">
        <v>81</v>
      </c>
      <c r="D7" s="1250">
        <f>'JHS-22'!H23</f>
        <v>6.7099999999999993E-2</v>
      </c>
      <c r="E7" s="105"/>
      <c r="F7" s="105"/>
      <c r="G7" s="105"/>
      <c r="H7" s="105"/>
      <c r="I7" s="105"/>
    </row>
    <row r="8" spans="1:9" ht="13.5">
      <c r="A8" s="756">
        <f>ROW()</f>
        <v>8</v>
      </c>
      <c r="B8" s="105"/>
      <c r="C8" s="105" t="s">
        <v>82</v>
      </c>
      <c r="D8" s="1251">
        <f>D6*D7</f>
        <v>16249189.620134622</v>
      </c>
      <c r="E8" s="105" t="s">
        <v>83</v>
      </c>
      <c r="F8" s="105"/>
      <c r="G8" s="105"/>
      <c r="H8" s="105"/>
      <c r="I8" s="105"/>
    </row>
    <row r="9" spans="1:9" ht="13.5">
      <c r="A9" s="756">
        <f>ROW()</f>
        <v>9</v>
      </c>
      <c r="B9" s="105"/>
      <c r="C9" s="105" t="s">
        <v>84</v>
      </c>
      <c r="D9" s="1252">
        <f>D8/(1-0.35)</f>
        <v>24998753.261745572</v>
      </c>
      <c r="E9" s="105" t="s">
        <v>677</v>
      </c>
      <c r="F9" s="105"/>
      <c r="G9" s="105"/>
      <c r="H9" s="895"/>
      <c r="I9" s="105"/>
    </row>
    <row r="10" spans="1:9" ht="13.5">
      <c r="A10" s="756">
        <f>ROW()</f>
        <v>10</v>
      </c>
      <c r="B10" s="105"/>
      <c r="C10" s="105" t="s">
        <v>85</v>
      </c>
      <c r="D10" s="1255">
        <f>D113</f>
        <v>63164123.629420087</v>
      </c>
      <c r="E10" s="105"/>
      <c r="F10" s="105"/>
      <c r="G10" s="105"/>
      <c r="H10" s="105"/>
      <c r="I10" s="105"/>
    </row>
    <row r="11" spans="1:9" ht="13.5">
      <c r="A11" s="756">
        <f>ROW()</f>
        <v>11</v>
      </c>
      <c r="B11" s="105"/>
      <c r="C11" s="105" t="s">
        <v>86</v>
      </c>
      <c r="D11" s="1251">
        <f>D10+D9</f>
        <v>88162876.891165659</v>
      </c>
      <c r="E11" s="105" t="s">
        <v>87</v>
      </c>
      <c r="F11" s="105"/>
      <c r="G11" s="105"/>
      <c r="H11" s="105"/>
      <c r="I11" s="105"/>
    </row>
    <row r="12" spans="1:9">
      <c r="A12" s="756">
        <f>ROW()</f>
        <v>12</v>
      </c>
      <c r="B12" s="105"/>
      <c r="C12" s="105"/>
      <c r="D12" s="105"/>
      <c r="E12" s="105"/>
      <c r="F12" s="105"/>
      <c r="G12" s="105"/>
      <c r="H12" s="105"/>
      <c r="I12" s="105"/>
    </row>
    <row r="13" spans="1:9">
      <c r="A13" s="756">
        <f>ROW()</f>
        <v>13</v>
      </c>
      <c r="B13" s="105" t="s">
        <v>88</v>
      </c>
      <c r="C13" s="105"/>
      <c r="D13" s="105"/>
      <c r="E13" s="105"/>
      <c r="F13" s="105"/>
      <c r="G13" s="105"/>
      <c r="H13" s="105"/>
      <c r="I13" s="105"/>
    </row>
    <row r="14" spans="1:9" customFormat="1" ht="25.5">
      <c r="A14" s="896">
        <f>ROW()</f>
        <v>14</v>
      </c>
      <c r="B14" s="899" t="s">
        <v>254</v>
      </c>
      <c r="C14" s="897" t="s">
        <v>323</v>
      </c>
      <c r="D14" s="900" t="s">
        <v>674</v>
      </c>
      <c r="E14" s="900" t="s">
        <v>675</v>
      </c>
      <c r="F14" s="898" t="s">
        <v>89</v>
      </c>
      <c r="G14" s="898" t="s">
        <v>90</v>
      </c>
      <c r="H14" s="898" t="s">
        <v>91</v>
      </c>
      <c r="I14" s="898" t="s">
        <v>92</v>
      </c>
    </row>
    <row r="15" spans="1:9" customFormat="1">
      <c r="A15" s="901">
        <f>ROW()</f>
        <v>15</v>
      </c>
      <c r="B15" s="902"/>
      <c r="C15" s="903" t="s">
        <v>93</v>
      </c>
      <c r="D15" s="905"/>
      <c r="E15" s="905"/>
      <c r="F15" s="906"/>
      <c r="G15" s="907"/>
      <c r="H15" s="906"/>
      <c r="I15" s="762"/>
    </row>
    <row r="16" spans="1:9" customFormat="1">
      <c r="A16" s="901">
        <f>ROW()</f>
        <v>16</v>
      </c>
      <c r="B16" s="902" t="s">
        <v>171</v>
      </c>
      <c r="C16" s="903" t="s">
        <v>172</v>
      </c>
      <c r="D16" s="908">
        <v>7355</v>
      </c>
      <c r="E16" s="908">
        <v>7417</v>
      </c>
      <c r="F16" s="909">
        <v>7390065</v>
      </c>
      <c r="G16" s="910">
        <v>1.7399999999999999E-2</v>
      </c>
      <c r="H16" s="909">
        <v>128515.62000000001</v>
      </c>
      <c r="I16" s="909">
        <v>-4710418</v>
      </c>
    </row>
    <row r="17" spans="1:9" customFormat="1">
      <c r="A17" s="901">
        <f>ROW()</f>
        <v>17</v>
      </c>
      <c r="B17" s="902" t="s">
        <v>173</v>
      </c>
      <c r="C17" s="903" t="s">
        <v>881</v>
      </c>
      <c r="D17" s="911">
        <v>70162</v>
      </c>
      <c r="E17" s="911">
        <v>73551</v>
      </c>
      <c r="F17" s="906">
        <v>71626270</v>
      </c>
      <c r="G17" s="910">
        <v>1.6899999999999998E-2</v>
      </c>
      <c r="H17" s="906">
        <v>1214377.0099999998</v>
      </c>
      <c r="I17" s="906">
        <v>-40690146</v>
      </c>
    </row>
    <row r="18" spans="1:9" customFormat="1">
      <c r="A18" s="901">
        <f>ROW()</f>
        <v>18</v>
      </c>
      <c r="B18" s="902" t="s">
        <v>882</v>
      </c>
      <c r="C18" s="903" t="s">
        <v>94</v>
      </c>
      <c r="D18" s="911">
        <v>23973</v>
      </c>
      <c r="E18" s="911">
        <v>24407</v>
      </c>
      <c r="F18" s="906">
        <v>24217324</v>
      </c>
      <c r="G18" s="910">
        <v>2.3599999999999999E-2</v>
      </c>
      <c r="H18" s="906">
        <v>570890.85</v>
      </c>
      <c r="I18" s="906">
        <v>-11048685</v>
      </c>
    </row>
    <row r="19" spans="1:9" customFormat="1">
      <c r="A19" s="901">
        <f>ROW()</f>
        <v>19</v>
      </c>
      <c r="B19" s="902" t="s">
        <v>883</v>
      </c>
      <c r="C19" s="903" t="s">
        <v>95</v>
      </c>
      <c r="D19" s="911">
        <v>5895</v>
      </c>
      <c r="E19" s="911">
        <v>5912</v>
      </c>
      <c r="F19" s="906">
        <v>5906906</v>
      </c>
      <c r="G19" s="910">
        <v>9.2999999999999992E-3</v>
      </c>
      <c r="H19" s="906">
        <v>54902.829999999994</v>
      </c>
      <c r="I19" s="906">
        <v>-4405415</v>
      </c>
    </row>
    <row r="20" spans="1:9" customFormat="1">
      <c r="A20" s="901">
        <f>ROW()</f>
        <v>20</v>
      </c>
      <c r="B20" s="902" t="s">
        <v>884</v>
      </c>
      <c r="C20" s="903" t="s">
        <v>97</v>
      </c>
      <c r="D20" s="911">
        <v>796</v>
      </c>
      <c r="E20" s="911">
        <v>808</v>
      </c>
      <c r="F20" s="906">
        <v>805101</v>
      </c>
      <c r="G20" s="910">
        <v>2.3099999999999999E-2</v>
      </c>
      <c r="H20" s="906">
        <v>18526.430000000004</v>
      </c>
      <c r="I20" s="906">
        <v>-248899</v>
      </c>
    </row>
    <row r="21" spans="1:9" customFormat="1">
      <c r="A21" s="901">
        <f>ROW()</f>
        <v>21</v>
      </c>
      <c r="B21" s="902"/>
      <c r="C21" s="903" t="s">
        <v>98</v>
      </c>
      <c r="D21" s="912">
        <f>SUM(D16:D20)</f>
        <v>108181</v>
      </c>
      <c r="E21" s="912">
        <f>SUM(E16:E20)</f>
        <v>112095</v>
      </c>
      <c r="F21" s="912">
        <f>SUM(F16:F20)</f>
        <v>109945666</v>
      </c>
      <c r="G21" s="913">
        <f>ROUND(+H21/F21,4)</f>
        <v>1.8100000000000002E-2</v>
      </c>
      <c r="H21" s="914">
        <f>SUM(H16:H20)</f>
        <v>1987212.74</v>
      </c>
      <c r="I21" s="914">
        <f>SUM(I16:I20)</f>
        <v>-61103563</v>
      </c>
    </row>
    <row r="22" spans="1:9" customFormat="1">
      <c r="A22" s="901">
        <f>ROW()</f>
        <v>22</v>
      </c>
      <c r="B22" s="902"/>
      <c r="C22" s="903" t="s">
        <v>99</v>
      </c>
      <c r="D22" s="905"/>
      <c r="E22" s="905"/>
      <c r="F22" s="906"/>
      <c r="G22" s="907"/>
      <c r="H22" s="906"/>
      <c r="I22" s="906"/>
    </row>
    <row r="23" spans="1:9" customFormat="1">
      <c r="A23" s="901">
        <f>ROW()</f>
        <v>23</v>
      </c>
      <c r="B23" s="902" t="s">
        <v>171</v>
      </c>
      <c r="C23" s="903" t="s">
        <v>172</v>
      </c>
      <c r="D23" s="905">
        <v>2541</v>
      </c>
      <c r="E23" s="905">
        <v>2608</v>
      </c>
      <c r="F23" s="906">
        <v>2579925</v>
      </c>
      <c r="G23" s="910">
        <v>1.32E-2</v>
      </c>
      <c r="H23" s="906">
        <v>33932.79</v>
      </c>
      <c r="I23" s="906">
        <v>-1002662</v>
      </c>
    </row>
    <row r="24" spans="1:9" customFormat="1">
      <c r="A24" s="901">
        <f>ROW()</f>
        <v>24</v>
      </c>
      <c r="B24" s="902" t="s">
        <v>173</v>
      </c>
      <c r="C24" s="903" t="s">
        <v>881</v>
      </c>
      <c r="D24" s="905">
        <v>63084</v>
      </c>
      <c r="E24" s="905">
        <v>65040</v>
      </c>
      <c r="F24" s="906">
        <v>64505013</v>
      </c>
      <c r="G24" s="910">
        <v>1.78E-2</v>
      </c>
      <c r="H24" s="906">
        <v>1139738.46</v>
      </c>
      <c r="I24" s="906">
        <v>-33864137</v>
      </c>
    </row>
    <row r="25" spans="1:9" customFormat="1">
      <c r="A25" s="901">
        <f>ROW()</f>
        <v>25</v>
      </c>
      <c r="B25" s="902" t="s">
        <v>882</v>
      </c>
      <c r="C25" s="903" t="s">
        <v>94</v>
      </c>
      <c r="D25" s="905">
        <v>26787</v>
      </c>
      <c r="E25" s="905">
        <v>28439</v>
      </c>
      <c r="F25" s="906">
        <v>27620914</v>
      </c>
      <c r="G25" s="910">
        <v>2.29E-2</v>
      </c>
      <c r="H25" s="906">
        <v>629409.80000000005</v>
      </c>
      <c r="I25" s="906">
        <v>-10330632</v>
      </c>
    </row>
    <row r="26" spans="1:9" customFormat="1">
      <c r="A26" s="901">
        <f>ROW()</f>
        <v>26</v>
      </c>
      <c r="B26" s="902" t="s">
        <v>883</v>
      </c>
      <c r="C26" s="903" t="s">
        <v>95</v>
      </c>
      <c r="D26" s="905">
        <v>2869</v>
      </c>
      <c r="E26" s="905">
        <v>2886</v>
      </c>
      <c r="F26" s="906">
        <v>2880593</v>
      </c>
      <c r="G26" s="910">
        <v>1.3599999999999999E-2</v>
      </c>
      <c r="H26" s="906">
        <v>39130.1</v>
      </c>
      <c r="I26" s="906">
        <v>-1267181</v>
      </c>
    </row>
    <row r="27" spans="1:9" customFormat="1">
      <c r="A27" s="901">
        <f>ROW()</f>
        <v>27</v>
      </c>
      <c r="B27" s="902" t="s">
        <v>884</v>
      </c>
      <c r="C27" s="903" t="s">
        <v>97</v>
      </c>
      <c r="D27" s="905">
        <v>918</v>
      </c>
      <c r="E27" s="905">
        <v>930</v>
      </c>
      <c r="F27" s="906">
        <v>927101</v>
      </c>
      <c r="G27" s="910">
        <v>2.3800000000000002E-2</v>
      </c>
      <c r="H27" s="906">
        <v>21983.57</v>
      </c>
      <c r="I27" s="906">
        <v>-338064</v>
      </c>
    </row>
    <row r="28" spans="1:9" customFormat="1">
      <c r="A28" s="901">
        <f>ROW()</f>
        <v>28</v>
      </c>
      <c r="B28" s="902"/>
      <c r="C28" s="903" t="s">
        <v>98</v>
      </c>
      <c r="D28" s="912">
        <f>SUM(D23:D27)</f>
        <v>96199</v>
      </c>
      <c r="E28" s="912">
        <f>SUM(E23:E27)</f>
        <v>99903</v>
      </c>
      <c r="F28" s="912">
        <f>SUM(F23:F27)</f>
        <v>98513546</v>
      </c>
      <c r="G28" s="913">
        <f>ROUND(+H28/F28,4)</f>
        <v>1.89E-2</v>
      </c>
      <c r="H28" s="914">
        <f>SUM(H23:H27)</f>
        <v>1864194.7200000002</v>
      </c>
      <c r="I28" s="914">
        <f>SUM(I23:I27)</f>
        <v>-46802676</v>
      </c>
    </row>
    <row r="29" spans="1:9" customFormat="1">
      <c r="A29" s="901">
        <f>ROW()</f>
        <v>29</v>
      </c>
      <c r="B29" s="902"/>
      <c r="C29" s="903" t="s">
        <v>100</v>
      </c>
      <c r="D29" s="905"/>
      <c r="E29" s="905"/>
      <c r="F29" s="906"/>
      <c r="G29" s="907"/>
      <c r="H29" s="906"/>
      <c r="I29" s="906"/>
    </row>
    <row r="30" spans="1:9" customFormat="1">
      <c r="A30" s="901">
        <f>ROW()</f>
        <v>30</v>
      </c>
      <c r="B30" s="902" t="s">
        <v>171</v>
      </c>
      <c r="C30" s="903" t="s">
        <v>172</v>
      </c>
      <c r="D30" s="905">
        <v>31201</v>
      </c>
      <c r="E30" s="905">
        <v>31201</v>
      </c>
      <c r="F30" s="906">
        <v>31201182</v>
      </c>
      <c r="G30" s="910">
        <v>1.23E-2</v>
      </c>
      <c r="H30" s="906">
        <v>286761.13</v>
      </c>
      <c r="I30" s="906">
        <v>-25849541</v>
      </c>
    </row>
    <row r="31" spans="1:9" customFormat="1">
      <c r="A31" s="901">
        <f>ROW()</f>
        <v>31</v>
      </c>
      <c r="B31" s="902" t="s">
        <v>173</v>
      </c>
      <c r="C31" s="903" t="s">
        <v>881</v>
      </c>
      <c r="D31" s="905">
        <v>6209</v>
      </c>
      <c r="E31" s="905">
        <v>6209</v>
      </c>
      <c r="F31" s="906">
        <v>6209456</v>
      </c>
      <c r="G31" s="910">
        <v>1.2699999999999999E-2</v>
      </c>
      <c r="H31" s="906">
        <v>78860.160000000003</v>
      </c>
      <c r="I31" s="906">
        <v>-4859524</v>
      </c>
    </row>
    <row r="32" spans="1:9" customFormat="1">
      <c r="A32" s="901">
        <f>ROW()</f>
        <v>32</v>
      </c>
      <c r="B32" s="902" t="s">
        <v>882</v>
      </c>
      <c r="C32" s="903" t="s">
        <v>94</v>
      </c>
      <c r="D32" s="905">
        <v>3821</v>
      </c>
      <c r="E32" s="905">
        <v>3821</v>
      </c>
      <c r="F32" s="906">
        <v>3821272</v>
      </c>
      <c r="G32" s="910">
        <v>1.24E-2</v>
      </c>
      <c r="H32" s="906">
        <v>47383.68</v>
      </c>
      <c r="I32" s="906">
        <v>-3287547</v>
      </c>
    </row>
    <row r="33" spans="1:9" customFormat="1">
      <c r="A33" s="901">
        <f>ROW()</f>
        <v>33</v>
      </c>
      <c r="B33" s="902" t="s">
        <v>883</v>
      </c>
      <c r="C33" s="903" t="s">
        <v>95</v>
      </c>
      <c r="D33" s="905">
        <v>2333</v>
      </c>
      <c r="E33" s="905">
        <v>2333</v>
      </c>
      <c r="F33" s="906">
        <v>2332703</v>
      </c>
      <c r="G33" s="910">
        <v>1.14E-2</v>
      </c>
      <c r="H33" s="906">
        <v>26592.84</v>
      </c>
      <c r="I33" s="906">
        <v>-1818121</v>
      </c>
    </row>
    <row r="34" spans="1:9" customFormat="1">
      <c r="A34" s="901">
        <f>ROW()</f>
        <v>34</v>
      </c>
      <c r="B34" s="902" t="s">
        <v>884</v>
      </c>
      <c r="C34" s="903" t="s">
        <v>97</v>
      </c>
      <c r="D34" s="905">
        <v>6248</v>
      </c>
      <c r="E34" s="905">
        <v>6248</v>
      </c>
      <c r="F34" s="906">
        <v>6248428</v>
      </c>
      <c r="G34" s="910">
        <v>1.4E-2</v>
      </c>
      <c r="H34" s="906">
        <v>87477.96</v>
      </c>
      <c r="I34" s="906">
        <v>-4829577</v>
      </c>
    </row>
    <row r="35" spans="1:9" customFormat="1">
      <c r="A35" s="901">
        <f>ROW()</f>
        <v>35</v>
      </c>
      <c r="B35" s="902" t="s">
        <v>859</v>
      </c>
      <c r="C35" s="903" t="s">
        <v>101</v>
      </c>
      <c r="D35" s="905">
        <v>540</v>
      </c>
      <c r="E35" s="905">
        <v>540</v>
      </c>
      <c r="F35" s="906">
        <v>540097</v>
      </c>
      <c r="G35" s="910">
        <v>0</v>
      </c>
      <c r="H35" s="906">
        <v>23022.119999999995</v>
      </c>
      <c r="I35" s="906">
        <v>-480942.62</v>
      </c>
    </row>
    <row r="36" spans="1:9" customFormat="1">
      <c r="A36" s="901">
        <f>ROW()</f>
        <v>36</v>
      </c>
      <c r="B36" s="902"/>
      <c r="C36" s="903" t="s">
        <v>98</v>
      </c>
      <c r="D36" s="912">
        <f>SUM(D30:D35)</f>
        <v>50352</v>
      </c>
      <c r="E36" s="912">
        <f>SUM(E30:E35)</f>
        <v>50352</v>
      </c>
      <c r="F36" s="912">
        <f>SUM(F30:F35)</f>
        <v>50353138</v>
      </c>
      <c r="G36" s="913">
        <f>ROUND(+H36/F36,4)</f>
        <v>1.09E-2</v>
      </c>
      <c r="H36" s="914">
        <f>SUM(H30:H35)</f>
        <v>550097.89</v>
      </c>
      <c r="I36" s="914">
        <f>SUM(I30:I35)</f>
        <v>-41125252.619999997</v>
      </c>
    </row>
    <row r="37" spans="1:9" customFormat="1">
      <c r="A37" s="901">
        <f>ROW()</f>
        <v>37</v>
      </c>
      <c r="B37" s="902"/>
      <c r="C37" s="903" t="s">
        <v>102</v>
      </c>
      <c r="D37" s="905"/>
      <c r="E37" s="905"/>
      <c r="F37" s="906"/>
      <c r="G37" s="907"/>
      <c r="H37" s="906"/>
      <c r="I37" s="906"/>
    </row>
    <row r="38" spans="1:9" customFormat="1">
      <c r="A38" s="901">
        <f>ROW()</f>
        <v>38</v>
      </c>
      <c r="B38" s="902" t="s">
        <v>171</v>
      </c>
      <c r="C38" s="903" t="s">
        <v>172</v>
      </c>
      <c r="D38" s="905">
        <v>28527</v>
      </c>
      <c r="E38" s="905">
        <v>28575</v>
      </c>
      <c r="F38" s="906">
        <v>28560518</v>
      </c>
      <c r="G38" s="910">
        <v>1.3299999999999999E-2</v>
      </c>
      <c r="H38" s="906">
        <v>379726.87</v>
      </c>
      <c r="I38" s="906">
        <v>-19203195</v>
      </c>
    </row>
    <row r="39" spans="1:9" customFormat="1">
      <c r="A39" s="901">
        <f>ROW()</f>
        <v>39</v>
      </c>
      <c r="B39" s="902" t="s">
        <v>173</v>
      </c>
      <c r="C39" s="903" t="s">
        <v>881</v>
      </c>
      <c r="D39" s="905">
        <v>127151</v>
      </c>
      <c r="E39" s="905">
        <v>127916</v>
      </c>
      <c r="F39" s="906">
        <v>127278293</v>
      </c>
      <c r="G39" s="910">
        <v>1.44E-2</v>
      </c>
      <c r="H39" s="906">
        <v>1836477.7900000003</v>
      </c>
      <c r="I39" s="906">
        <v>-84254011</v>
      </c>
    </row>
    <row r="40" spans="1:9" customFormat="1">
      <c r="A40" s="901">
        <f>ROW()</f>
        <v>40</v>
      </c>
      <c r="B40" s="902" t="s">
        <v>882</v>
      </c>
      <c r="C40" s="903" t="s">
        <v>94</v>
      </c>
      <c r="D40" s="905">
        <v>39395</v>
      </c>
      <c r="E40" s="905">
        <v>41704</v>
      </c>
      <c r="F40" s="906">
        <v>40516395</v>
      </c>
      <c r="G40" s="910">
        <v>1.8700000000000001E-2</v>
      </c>
      <c r="H40" s="906">
        <v>758279.41999999993</v>
      </c>
      <c r="I40" s="906">
        <v>-18451357</v>
      </c>
    </row>
    <row r="41" spans="1:9" customFormat="1">
      <c r="A41" s="901">
        <f>ROW()</f>
        <v>41</v>
      </c>
      <c r="B41" s="902" t="s">
        <v>883</v>
      </c>
      <c r="C41" s="903" t="s">
        <v>95</v>
      </c>
      <c r="D41" s="905">
        <v>6358</v>
      </c>
      <c r="E41" s="905">
        <v>6383</v>
      </c>
      <c r="F41" s="906">
        <v>6369547</v>
      </c>
      <c r="G41" s="910">
        <v>1.2800000000000001E-2</v>
      </c>
      <c r="H41" s="906">
        <v>81543.240000000005</v>
      </c>
      <c r="I41" s="906">
        <v>-4018765</v>
      </c>
    </row>
    <row r="42" spans="1:9" customFormat="1">
      <c r="A42" s="901">
        <f>ROW()</f>
        <v>42</v>
      </c>
      <c r="B42" s="902" t="s">
        <v>884</v>
      </c>
      <c r="C42" s="903" t="s">
        <v>97</v>
      </c>
      <c r="D42" s="905">
        <v>763</v>
      </c>
      <c r="E42" s="905">
        <v>770</v>
      </c>
      <c r="F42" s="906">
        <v>768745</v>
      </c>
      <c r="G42" s="910">
        <v>2.01E-2</v>
      </c>
      <c r="H42" s="906">
        <v>15411.959999999995</v>
      </c>
      <c r="I42" s="906">
        <v>-272770</v>
      </c>
    </row>
    <row r="43" spans="1:9" customFormat="1">
      <c r="A43" s="901">
        <f>ROW()</f>
        <v>43</v>
      </c>
      <c r="B43" s="902"/>
      <c r="C43" s="903" t="s">
        <v>98</v>
      </c>
      <c r="D43" s="912">
        <f>SUM(D38:D42)</f>
        <v>202194</v>
      </c>
      <c r="E43" s="912">
        <f>SUM(E38:E42)</f>
        <v>205348</v>
      </c>
      <c r="F43" s="912">
        <f>SUM(F38:F42)</f>
        <v>203493498</v>
      </c>
      <c r="G43" s="913">
        <f>ROUND(+H43/F43,4)</f>
        <v>1.5100000000000001E-2</v>
      </c>
      <c r="H43" s="914">
        <f>SUM(H38:H42)</f>
        <v>3071439.2800000003</v>
      </c>
      <c r="I43" s="914">
        <f>SUM(I38:I42)</f>
        <v>-126200098</v>
      </c>
    </row>
    <row r="44" spans="1:9" customFormat="1">
      <c r="A44" s="901">
        <f>ROW()</f>
        <v>44</v>
      </c>
      <c r="B44" s="902"/>
      <c r="C44" s="903" t="s">
        <v>103</v>
      </c>
      <c r="D44" s="905"/>
      <c r="E44" s="905"/>
      <c r="F44" s="906"/>
      <c r="G44" s="907"/>
      <c r="H44" s="906"/>
      <c r="I44" s="906"/>
    </row>
    <row r="45" spans="1:9" customFormat="1">
      <c r="A45" s="901">
        <f>ROW()</f>
        <v>45</v>
      </c>
      <c r="B45" s="902" t="s">
        <v>171</v>
      </c>
      <c r="C45" s="903" t="s">
        <v>172</v>
      </c>
      <c r="D45" s="905">
        <v>26721</v>
      </c>
      <c r="E45" s="905">
        <v>26769</v>
      </c>
      <c r="F45" s="906">
        <v>26754610</v>
      </c>
      <c r="G45" s="910">
        <v>1.4200000000000001E-2</v>
      </c>
      <c r="H45" s="906">
        <v>379778.75000000006</v>
      </c>
      <c r="I45" s="906">
        <v>-17040192</v>
      </c>
    </row>
    <row r="46" spans="1:9" customFormat="1">
      <c r="A46" s="901">
        <f>ROW()</f>
        <v>46</v>
      </c>
      <c r="B46" s="902" t="s">
        <v>173</v>
      </c>
      <c r="C46" s="903" t="s">
        <v>881</v>
      </c>
      <c r="D46" s="905">
        <v>113239</v>
      </c>
      <c r="E46" s="905">
        <v>114141</v>
      </c>
      <c r="F46" s="906">
        <v>113849136</v>
      </c>
      <c r="G46" s="910">
        <v>1.6400000000000001E-2</v>
      </c>
      <c r="H46" s="906">
        <v>1864517.43</v>
      </c>
      <c r="I46" s="906">
        <v>-66673143</v>
      </c>
    </row>
    <row r="47" spans="1:9" customFormat="1">
      <c r="A47" s="901">
        <f>ROW()</f>
        <v>47</v>
      </c>
      <c r="B47" s="902" t="s">
        <v>882</v>
      </c>
      <c r="C47" s="903" t="s">
        <v>94</v>
      </c>
      <c r="D47" s="905">
        <v>39588</v>
      </c>
      <c r="E47" s="905">
        <v>40825</v>
      </c>
      <c r="F47" s="906">
        <v>40674578</v>
      </c>
      <c r="G47" s="910">
        <v>1.9199999999999998E-2</v>
      </c>
      <c r="H47" s="906">
        <v>771961.89</v>
      </c>
      <c r="I47" s="906">
        <v>-17832098</v>
      </c>
    </row>
    <row r="48" spans="1:9" customFormat="1">
      <c r="A48" s="901">
        <f>ROW()</f>
        <v>48</v>
      </c>
      <c r="B48" s="902" t="s">
        <v>883</v>
      </c>
      <c r="C48" s="903" t="s">
        <v>95</v>
      </c>
      <c r="D48" s="905">
        <v>5660</v>
      </c>
      <c r="E48" s="905">
        <v>5660</v>
      </c>
      <c r="F48" s="906">
        <v>5660408</v>
      </c>
      <c r="G48" s="910">
        <v>1.4E-2</v>
      </c>
      <c r="H48" s="906">
        <v>79245.719999999987</v>
      </c>
      <c r="I48" s="906">
        <v>-3324241</v>
      </c>
    </row>
    <row r="49" spans="1:9" customFormat="1">
      <c r="A49" s="901">
        <f>ROW()</f>
        <v>49</v>
      </c>
      <c r="B49" s="902" t="s">
        <v>884</v>
      </c>
      <c r="C49" s="903" t="s">
        <v>97</v>
      </c>
      <c r="D49" s="905">
        <v>891</v>
      </c>
      <c r="E49" s="905">
        <v>898</v>
      </c>
      <c r="F49" s="906">
        <v>896213</v>
      </c>
      <c r="G49" s="910">
        <v>1.9300000000000001E-2</v>
      </c>
      <c r="H49" s="906">
        <v>17258.690000000002</v>
      </c>
      <c r="I49" s="906">
        <v>-309205</v>
      </c>
    </row>
    <row r="50" spans="1:9" customFormat="1">
      <c r="A50" s="901">
        <f>ROW()</f>
        <v>50</v>
      </c>
      <c r="B50" s="902"/>
      <c r="C50" s="903" t="s">
        <v>98</v>
      </c>
      <c r="D50" s="912">
        <f>SUM(D45:D49)</f>
        <v>186099</v>
      </c>
      <c r="E50" s="912">
        <f>SUM(E45:E49)</f>
        <v>188293</v>
      </c>
      <c r="F50" s="912">
        <f>SUM(F45:F49)</f>
        <v>187834945</v>
      </c>
      <c r="G50" s="913">
        <f>ROUND(+H50/F50,4)</f>
        <v>1.66E-2</v>
      </c>
      <c r="H50" s="914">
        <f>SUM(H45:H49)</f>
        <v>3112762.4800000004</v>
      </c>
      <c r="I50" s="914">
        <f>SUM(I45:I49)</f>
        <v>-105178879</v>
      </c>
    </row>
    <row r="51" spans="1:9" customFormat="1">
      <c r="A51" s="901">
        <f>ROW()</f>
        <v>51</v>
      </c>
      <c r="B51" s="902"/>
      <c r="C51" s="903" t="s">
        <v>104</v>
      </c>
      <c r="D51" s="905"/>
      <c r="E51" s="905"/>
      <c r="F51" s="906"/>
      <c r="G51" s="907"/>
      <c r="H51" s="906"/>
      <c r="I51" s="906"/>
    </row>
    <row r="52" spans="1:9" customFormat="1">
      <c r="A52" s="901">
        <f>ROW()</f>
        <v>52</v>
      </c>
      <c r="B52" s="902" t="s">
        <v>171</v>
      </c>
      <c r="C52" s="903" t="s">
        <v>172</v>
      </c>
      <c r="D52" s="905">
        <v>70515</v>
      </c>
      <c r="E52" s="905">
        <v>70515</v>
      </c>
      <c r="F52" s="906">
        <v>70514806</v>
      </c>
      <c r="G52" s="910">
        <v>1.3100000000000001E-2</v>
      </c>
      <c r="H52" s="906">
        <v>861460.98999999987</v>
      </c>
      <c r="I52" s="906">
        <v>-47724478</v>
      </c>
    </row>
    <row r="53" spans="1:9" customFormat="1">
      <c r="A53" s="901">
        <f>ROW()</f>
        <v>53</v>
      </c>
      <c r="B53" s="902" t="s">
        <v>173</v>
      </c>
      <c r="C53" s="903" t="s">
        <v>881</v>
      </c>
      <c r="D53" s="905">
        <v>16957</v>
      </c>
      <c r="E53" s="905">
        <v>16957</v>
      </c>
      <c r="F53" s="906">
        <v>16957167</v>
      </c>
      <c r="G53" s="910">
        <v>1.49E-2</v>
      </c>
      <c r="H53" s="906">
        <v>252661.79999999996</v>
      </c>
      <c r="I53" s="906">
        <v>-10318676</v>
      </c>
    </row>
    <row r="54" spans="1:9" customFormat="1">
      <c r="A54" s="901">
        <f>ROW()</f>
        <v>54</v>
      </c>
      <c r="B54" s="902" t="s">
        <v>882</v>
      </c>
      <c r="C54" s="903" t="s">
        <v>94</v>
      </c>
      <c r="D54" s="905">
        <v>11</v>
      </c>
      <c r="E54" s="905">
        <v>11</v>
      </c>
      <c r="F54" s="906">
        <v>10515</v>
      </c>
      <c r="G54" s="910">
        <v>0.26550000000000001</v>
      </c>
      <c r="H54" s="906">
        <v>2791.8000000000006</v>
      </c>
      <c r="I54" s="906">
        <v>106861</v>
      </c>
    </row>
    <row r="55" spans="1:9" customFormat="1">
      <c r="A55" s="901">
        <f>ROW()</f>
        <v>55</v>
      </c>
      <c r="B55" s="902" t="s">
        <v>883</v>
      </c>
      <c r="C55" s="903" t="s">
        <v>95</v>
      </c>
      <c r="D55" s="905">
        <v>7645</v>
      </c>
      <c r="E55" s="905">
        <v>7645</v>
      </c>
      <c r="F55" s="906">
        <v>7645315</v>
      </c>
      <c r="G55" s="910">
        <v>1.2800000000000001E-2</v>
      </c>
      <c r="H55" s="906">
        <v>97860</v>
      </c>
      <c r="I55" s="906">
        <v>-4782271</v>
      </c>
    </row>
    <row r="56" spans="1:9" customFormat="1">
      <c r="A56" s="901">
        <f>ROW()</f>
        <v>56</v>
      </c>
      <c r="B56" s="902" t="s">
        <v>884</v>
      </c>
      <c r="C56" s="903" t="s">
        <v>97</v>
      </c>
      <c r="D56" s="905">
        <v>4503</v>
      </c>
      <c r="E56" s="905">
        <v>4503</v>
      </c>
      <c r="F56" s="906">
        <v>4503330</v>
      </c>
      <c r="G56" s="910">
        <v>1.6299999999999999E-2</v>
      </c>
      <c r="H56" s="906">
        <v>73404.24000000002</v>
      </c>
      <c r="I56" s="906">
        <v>-2515969</v>
      </c>
    </row>
    <row r="57" spans="1:9" customFormat="1">
      <c r="A57" s="901">
        <f>ROW()</f>
        <v>57</v>
      </c>
      <c r="B57" s="902" t="s">
        <v>859</v>
      </c>
      <c r="C57" s="903" t="s">
        <v>101</v>
      </c>
      <c r="D57" s="905">
        <v>334</v>
      </c>
      <c r="E57" s="905">
        <v>334</v>
      </c>
      <c r="F57" s="906">
        <v>333978</v>
      </c>
      <c r="G57" s="910">
        <v>0</v>
      </c>
      <c r="H57" s="906">
        <v>5013.4800000000005</v>
      </c>
      <c r="I57" s="906">
        <v>-236566.03</v>
      </c>
    </row>
    <row r="58" spans="1:9" customFormat="1">
      <c r="A58" s="901">
        <f>ROW()</f>
        <v>58</v>
      </c>
      <c r="B58" s="902"/>
      <c r="C58" s="903" t="s">
        <v>98</v>
      </c>
      <c r="D58" s="912">
        <f>SUM(D52:D57)</f>
        <v>99965</v>
      </c>
      <c r="E58" s="912">
        <f>SUM(E52:E57)</f>
        <v>99965</v>
      </c>
      <c r="F58" s="912">
        <f>SUM(F52:F57)</f>
        <v>99965111</v>
      </c>
      <c r="G58" s="913">
        <f>ROUND(+H58/F58,4)</f>
        <v>1.29E-2</v>
      </c>
      <c r="H58" s="914">
        <f>SUM(H52:H57)</f>
        <v>1293192.3099999998</v>
      </c>
      <c r="I58" s="914">
        <f>SUM(I52:I57)</f>
        <v>-65471099.030000001</v>
      </c>
    </row>
    <row r="59" spans="1:9" customFormat="1">
      <c r="A59" s="901">
        <f>ROW()</f>
        <v>59</v>
      </c>
      <c r="B59" s="902"/>
      <c r="C59" s="903" t="s">
        <v>105</v>
      </c>
      <c r="D59" s="905"/>
      <c r="E59" s="905"/>
      <c r="F59" s="906"/>
      <c r="G59" s="915"/>
      <c r="H59" s="906"/>
      <c r="I59" s="906"/>
    </row>
    <row r="60" spans="1:9" customFormat="1">
      <c r="A60" s="901">
        <f>ROW()</f>
        <v>60</v>
      </c>
      <c r="B60" s="902" t="s">
        <v>884</v>
      </c>
      <c r="C60" s="903" t="s">
        <v>106</v>
      </c>
      <c r="D60" s="905">
        <v>252</v>
      </c>
      <c r="E60" s="905">
        <v>252</v>
      </c>
      <c r="F60" s="906">
        <v>251534</v>
      </c>
      <c r="G60" s="907">
        <v>1.38E-2</v>
      </c>
      <c r="H60" s="906">
        <v>3471.1200000000008</v>
      </c>
      <c r="I60" s="906">
        <v>-173333</v>
      </c>
    </row>
    <row r="61" spans="1:9" customFormat="1">
      <c r="A61" s="901">
        <f>ROW()</f>
        <v>61</v>
      </c>
      <c r="B61" s="902"/>
      <c r="C61" s="903" t="s">
        <v>98</v>
      </c>
      <c r="D61" s="916">
        <f>SUM(D60)</f>
        <v>252</v>
      </c>
      <c r="E61" s="916">
        <f>SUM(E60)</f>
        <v>252</v>
      </c>
      <c r="F61" s="916">
        <f>SUM(F60)</f>
        <v>251534</v>
      </c>
      <c r="G61" s="913">
        <f>ROUND(+H61/F61,4)</f>
        <v>1.38E-2</v>
      </c>
      <c r="H61" s="917">
        <f>SUM(H60:H60)</f>
        <v>3471.1200000000008</v>
      </c>
      <c r="I61" s="917">
        <f>SUM(I60)</f>
        <v>-173333</v>
      </c>
    </row>
    <row r="62" spans="1:9" customFormat="1">
      <c r="A62" s="901">
        <f>ROW()</f>
        <v>62</v>
      </c>
      <c r="B62" s="902"/>
      <c r="C62" s="903"/>
      <c r="D62" s="905"/>
      <c r="E62" s="905"/>
      <c r="F62" s="905"/>
      <c r="G62" s="907"/>
      <c r="H62" s="906"/>
      <c r="I62" s="906"/>
    </row>
    <row r="63" spans="1:9" customFormat="1">
      <c r="A63" s="901">
        <f>ROW()</f>
        <v>63</v>
      </c>
      <c r="B63" s="862" t="s">
        <v>107</v>
      </c>
      <c r="C63" s="903"/>
      <c r="D63" s="905">
        <f>D21+D28+D36+D43+D50+D58+D61</f>
        <v>743242</v>
      </c>
      <c r="E63" s="905">
        <f>E21+E28+E36+E43+E50+E58+E61</f>
        <v>756208</v>
      </c>
      <c r="F63" s="905">
        <f>F21+F28+F36+F43+F50+F58+F61</f>
        <v>750357438</v>
      </c>
      <c r="G63" s="907">
        <f>H63/F63</f>
        <v>1.5835613719870929E-2</v>
      </c>
      <c r="H63" s="905">
        <f>H21+H28+H36+H43+H50+H58+H61</f>
        <v>11882370.539999999</v>
      </c>
      <c r="I63" s="905">
        <f>I21+I28+I36+I43+I50+I58+I61</f>
        <v>-446054900.64999998</v>
      </c>
    </row>
    <row r="64" spans="1:9" customFormat="1">
      <c r="A64" s="901">
        <f>ROW()</f>
        <v>64</v>
      </c>
      <c r="B64" s="902" t="s">
        <v>108</v>
      </c>
      <c r="C64" s="903"/>
      <c r="D64" s="905"/>
      <c r="E64" s="905"/>
      <c r="F64" s="905">
        <v>-2302671.4662499996</v>
      </c>
      <c r="G64" s="907"/>
      <c r="H64" s="906">
        <v>136274.21000000002</v>
      </c>
      <c r="I64" s="906"/>
    </row>
    <row r="65" spans="1:10" customFormat="1">
      <c r="A65" s="901">
        <f>ROW()</f>
        <v>65</v>
      </c>
      <c r="B65" s="903" t="s">
        <v>109</v>
      </c>
      <c r="C65" s="904"/>
      <c r="D65" s="905"/>
      <c r="E65" s="904"/>
      <c r="F65" s="905">
        <v>4947627.8499999251</v>
      </c>
      <c r="G65" s="906"/>
      <c r="H65" s="905">
        <v>354668.76000000536</v>
      </c>
      <c r="I65" s="905"/>
    </row>
    <row r="66" spans="1:10">
      <c r="A66" s="901">
        <f>ROW()</f>
        <v>66</v>
      </c>
      <c r="B66" s="903" t="s">
        <v>110</v>
      </c>
      <c r="C66" s="904"/>
      <c r="D66" s="905"/>
      <c r="E66" s="904"/>
      <c r="F66" s="918">
        <v>1941067</v>
      </c>
      <c r="G66" s="919"/>
      <c r="H66" s="918">
        <v>104311.20599999999</v>
      </c>
      <c r="I66" s="918"/>
      <c r="J66"/>
    </row>
    <row r="67" spans="1:10">
      <c r="A67" s="901">
        <f>ROW()</f>
        <v>67</v>
      </c>
      <c r="B67" s="105"/>
      <c r="C67" s="105"/>
      <c r="D67" s="745" t="s">
        <v>1</v>
      </c>
      <c r="E67" s="105"/>
      <c r="F67" s="736">
        <f>SUM(F63:F66)</f>
        <v>754943461.38374996</v>
      </c>
      <c r="G67" s="907">
        <f>H67/F67</f>
        <v>1.6527892953903507E-2</v>
      </c>
      <c r="H67" s="736">
        <f>SUM(H63:H66)</f>
        <v>12477624.716000006</v>
      </c>
      <c r="I67" s="736">
        <f>SUM(I63:I66)</f>
        <v>-446054900.64999998</v>
      </c>
    </row>
    <row r="68" spans="1:10">
      <c r="A68" s="901"/>
      <c r="B68" s="105"/>
      <c r="C68" s="105"/>
      <c r="D68" s="105"/>
      <c r="E68" s="105"/>
      <c r="F68" s="105"/>
      <c r="G68" s="105"/>
      <c r="H68" s="105"/>
      <c r="I68" s="762"/>
    </row>
    <row r="69" spans="1:10">
      <c r="A69" s="901"/>
      <c r="B69" s="105"/>
      <c r="C69" s="105"/>
      <c r="D69" s="105"/>
      <c r="E69" s="105"/>
      <c r="F69" s="105"/>
      <c r="G69" s="105"/>
      <c r="H69" s="105"/>
      <c r="I69" s="762"/>
    </row>
    <row r="70" spans="1:10" ht="13.5" thickBot="1">
      <c r="A70" s="901"/>
      <c r="B70" s="105"/>
      <c r="C70" s="105"/>
      <c r="D70" s="105"/>
      <c r="E70" s="105"/>
      <c r="F70" s="105"/>
      <c r="G70" s="105"/>
      <c r="H70" s="105"/>
      <c r="I70" s="762"/>
    </row>
    <row r="71" spans="1:10" ht="16.5" thickBot="1">
      <c r="A71" s="901"/>
      <c r="B71" s="105"/>
      <c r="C71" s="1481" t="s">
        <v>1491</v>
      </c>
      <c r="D71" s="105"/>
      <c r="E71" s="105"/>
      <c r="F71" s="105"/>
      <c r="G71" s="105"/>
      <c r="H71" s="105"/>
      <c r="I71" s="762"/>
    </row>
    <row r="72" spans="1:10">
      <c r="A72" s="901"/>
      <c r="B72" s="105"/>
      <c r="C72" s="105"/>
      <c r="D72" s="105"/>
      <c r="E72" s="105"/>
      <c r="F72" s="105"/>
      <c r="G72" s="105"/>
      <c r="H72" s="105"/>
      <c r="I72" s="1" t="s">
        <v>1405</v>
      </c>
    </row>
    <row r="73" spans="1:10">
      <c r="A73" s="901"/>
      <c r="B73" s="105"/>
      <c r="C73" s="105"/>
      <c r="D73" s="105"/>
      <c r="E73" s="105"/>
      <c r="F73" s="105"/>
      <c r="G73" s="105"/>
      <c r="H73" s="105"/>
      <c r="I73" s="744" t="s">
        <v>1407</v>
      </c>
    </row>
    <row r="74" spans="1:10" ht="18.75">
      <c r="A74" s="901" t="s">
        <v>111</v>
      </c>
      <c r="B74" s="888" t="s">
        <v>1408</v>
      </c>
      <c r="C74" s="105"/>
      <c r="D74" s="745"/>
      <c r="E74" s="105"/>
      <c r="F74" s="745"/>
      <c r="G74" s="105"/>
      <c r="H74" s="105"/>
      <c r="I74" s="1"/>
    </row>
    <row r="75" spans="1:10">
      <c r="A75" s="901">
        <f>ROW()</f>
        <v>75</v>
      </c>
      <c r="B75" s="105"/>
      <c r="C75" s="105"/>
      <c r="D75" s="745"/>
      <c r="E75" s="105"/>
      <c r="F75" s="105"/>
      <c r="G75" s="105"/>
      <c r="H75" s="105"/>
      <c r="I75" s="744"/>
    </row>
    <row r="76" spans="1:10">
      <c r="A76" s="901">
        <f>ROW()</f>
        <v>76</v>
      </c>
      <c r="B76" s="105"/>
      <c r="C76" s="105"/>
      <c r="D76" s="745"/>
      <c r="E76" s="105"/>
      <c r="F76" s="58"/>
      <c r="G76" s="105"/>
      <c r="H76" s="105"/>
      <c r="I76" s="744"/>
    </row>
    <row r="77" spans="1:10">
      <c r="A77" s="901">
        <f>ROW()</f>
        <v>77</v>
      </c>
      <c r="B77" s="105"/>
      <c r="C77" s="105"/>
      <c r="D77" s="745"/>
      <c r="E77" s="105"/>
      <c r="F77" s="7"/>
      <c r="G77" s="105"/>
      <c r="H77" s="105"/>
      <c r="I77" s="744"/>
    </row>
    <row r="78" spans="1:10">
      <c r="A78" s="901">
        <f>ROW()</f>
        <v>78</v>
      </c>
      <c r="B78" s="105"/>
      <c r="C78" s="105"/>
      <c r="D78" s="745"/>
      <c r="E78" s="105"/>
      <c r="F78" s="7"/>
      <c r="G78" s="105"/>
      <c r="H78" s="105"/>
      <c r="I78" s="105"/>
    </row>
    <row r="79" spans="1:10">
      <c r="A79" s="901">
        <f>ROW()</f>
        <v>79</v>
      </c>
      <c r="B79" s="105" t="s">
        <v>112</v>
      </c>
      <c r="C79" s="105"/>
      <c r="D79" s="105"/>
      <c r="E79" s="105"/>
      <c r="F79" s="7"/>
      <c r="G79" s="105"/>
      <c r="H79" s="105"/>
      <c r="I79" s="105"/>
    </row>
    <row r="80" spans="1:10">
      <c r="A80" s="901">
        <f>ROW()</f>
        <v>80</v>
      </c>
      <c r="B80" s="105"/>
      <c r="C80" s="105"/>
      <c r="D80" s="739" t="s">
        <v>113</v>
      </c>
      <c r="E80" s="739"/>
      <c r="F80" s="7"/>
      <c r="G80" s="105"/>
      <c r="H80" s="105"/>
      <c r="I80" s="105"/>
    </row>
    <row r="81" spans="1:24">
      <c r="A81" s="901">
        <f>ROW()</f>
        <v>81</v>
      </c>
      <c r="B81" s="105" t="s">
        <v>114</v>
      </c>
      <c r="C81" s="105" t="s">
        <v>1285</v>
      </c>
      <c r="D81" s="920" t="s">
        <v>115</v>
      </c>
      <c r="E81" s="105"/>
      <c r="F81" s="105"/>
      <c r="G81" s="105"/>
      <c r="H81" s="105"/>
      <c r="I81" s="105"/>
    </row>
    <row r="82" spans="1:24" s="256" customFormat="1">
      <c r="A82" s="901">
        <f>ROW()</f>
        <v>82</v>
      </c>
      <c r="B82" s="921">
        <v>50004011</v>
      </c>
      <c r="C82" s="860" t="s">
        <v>116</v>
      </c>
      <c r="D82" s="922">
        <v>61749.81</v>
      </c>
      <c r="E82" s="923"/>
      <c r="F82" s="924"/>
      <c r="G82" s="105"/>
      <c r="H82" s="886"/>
      <c r="I82" s="76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256" customFormat="1">
      <c r="A83" s="901">
        <f>ROW()</f>
        <v>83</v>
      </c>
      <c r="B83" s="921">
        <v>50005011</v>
      </c>
      <c r="C83" s="860" t="s">
        <v>117</v>
      </c>
      <c r="D83" s="925">
        <v>50554.2</v>
      </c>
      <c r="E83" s="923"/>
      <c r="F83" s="924"/>
      <c r="G83" s="351"/>
      <c r="H83" s="886"/>
      <c r="I83" s="762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256" customFormat="1">
      <c r="A84" s="901">
        <f>ROW()</f>
        <v>84</v>
      </c>
      <c r="B84" s="921">
        <v>50204001</v>
      </c>
      <c r="C84" s="860" t="s">
        <v>118</v>
      </c>
      <c r="D84" s="925">
        <v>4155364.14</v>
      </c>
      <c r="E84" s="923"/>
      <c r="F84" s="924"/>
      <c r="G84" s="351"/>
      <c r="H84" s="886"/>
      <c r="I84" s="762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256" customFormat="1">
      <c r="A85" s="901">
        <f>ROW()</f>
        <v>85</v>
      </c>
      <c r="B85" s="921">
        <v>50205001</v>
      </c>
      <c r="C85" s="860" t="s">
        <v>119</v>
      </c>
      <c r="D85" s="925">
        <v>2502216.0499999998</v>
      </c>
      <c r="E85" s="923"/>
      <c r="F85" s="924"/>
      <c r="G85" s="351"/>
      <c r="H85" s="886"/>
      <c r="I85" s="76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256" customFormat="1">
      <c r="A86" s="901">
        <f>ROW()</f>
        <v>86</v>
      </c>
      <c r="B86" s="921">
        <v>50504001</v>
      </c>
      <c r="C86" s="860" t="s">
        <v>120</v>
      </c>
      <c r="D86" s="925">
        <v>97082</v>
      </c>
      <c r="E86" s="923"/>
      <c r="F86" s="924"/>
      <c r="G86" s="351"/>
      <c r="H86" s="886"/>
      <c r="I86" s="762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256" customFormat="1">
      <c r="A87" s="901">
        <f>ROW()</f>
        <v>87</v>
      </c>
      <c r="B87" s="921">
        <v>50505001</v>
      </c>
      <c r="C87" s="860" t="s">
        <v>121</v>
      </c>
      <c r="D87" s="925">
        <v>87816.18</v>
      </c>
      <c r="E87" s="923"/>
      <c r="F87" s="924"/>
      <c r="G87" s="351"/>
      <c r="H87" s="886"/>
      <c r="I87" s="762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256" customFormat="1">
      <c r="A88" s="901">
        <f>ROW()</f>
        <v>88</v>
      </c>
      <c r="B88" s="921">
        <v>50604001</v>
      </c>
      <c r="C88" s="860" t="s">
        <v>122</v>
      </c>
      <c r="D88" s="925">
        <v>3784561.96</v>
      </c>
      <c r="E88" s="923"/>
      <c r="F88" s="924"/>
      <c r="G88" s="351"/>
      <c r="H88" s="886"/>
      <c r="I88" s="76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256" customFormat="1">
      <c r="A89" s="901">
        <f>ROW()</f>
        <v>89</v>
      </c>
      <c r="B89" s="921">
        <v>50605001</v>
      </c>
      <c r="C89" s="860" t="s">
        <v>123</v>
      </c>
      <c r="D89" s="925">
        <v>3178647.51</v>
      </c>
      <c r="E89" s="923"/>
      <c r="F89" s="924"/>
      <c r="G89" s="351"/>
      <c r="H89" s="886"/>
      <c r="I89" s="76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256" customFormat="1">
      <c r="A90" s="901">
        <f>ROW()</f>
        <v>90</v>
      </c>
      <c r="B90" s="921">
        <v>50704001</v>
      </c>
      <c r="C90" s="860" t="s">
        <v>124</v>
      </c>
      <c r="D90" s="925">
        <v>9047.16</v>
      </c>
      <c r="E90" s="923"/>
      <c r="F90" s="924"/>
      <c r="G90" s="351"/>
      <c r="H90" s="886"/>
      <c r="I90" s="762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256" customFormat="1">
      <c r="A91" s="901">
        <f>ROW()</f>
        <v>91</v>
      </c>
      <c r="B91" s="921">
        <v>50705001</v>
      </c>
      <c r="C91" s="860" t="s">
        <v>125</v>
      </c>
      <c r="D91" s="925">
        <v>32765.919999999998</v>
      </c>
      <c r="E91" s="923"/>
      <c r="F91" s="924"/>
      <c r="G91" s="351"/>
      <c r="H91" s="886"/>
      <c r="I91" s="762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256" customFormat="1">
      <c r="A92" s="901">
        <f>ROW()</f>
        <v>92</v>
      </c>
      <c r="B92" s="921">
        <v>51004001</v>
      </c>
      <c r="C92" s="860" t="s">
        <v>126</v>
      </c>
      <c r="D92" s="925">
        <v>827100.53</v>
      </c>
      <c r="E92" s="923"/>
      <c r="F92" s="924"/>
      <c r="G92" s="351"/>
      <c r="H92" s="886"/>
      <c r="I92" s="76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256" customFormat="1">
      <c r="A93" s="901">
        <f>ROW()</f>
        <v>93</v>
      </c>
      <c r="B93" s="921">
        <v>51005001</v>
      </c>
      <c r="C93" s="860" t="s">
        <v>127</v>
      </c>
      <c r="D93" s="925">
        <v>589309.22</v>
      </c>
      <c r="E93" s="923"/>
      <c r="F93" s="924"/>
      <c r="G93" s="351"/>
      <c r="H93" s="886"/>
      <c r="I93" s="762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256" customFormat="1">
      <c r="A94" s="901">
        <f>ROW()</f>
        <v>94</v>
      </c>
      <c r="B94" s="921">
        <v>51104001</v>
      </c>
      <c r="C94" s="860" t="s">
        <v>128</v>
      </c>
      <c r="D94" s="925">
        <v>1124651.3700000001</v>
      </c>
      <c r="E94" s="923"/>
      <c r="F94" s="924"/>
      <c r="G94" s="351"/>
      <c r="H94" s="886"/>
      <c r="I94" s="76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256" customFormat="1">
      <c r="A95" s="901">
        <f>ROW()</f>
        <v>95</v>
      </c>
      <c r="B95" s="921">
        <v>51105001</v>
      </c>
      <c r="C95" s="860" t="s">
        <v>129</v>
      </c>
      <c r="D95" s="925">
        <v>847752.84</v>
      </c>
      <c r="E95" s="923"/>
      <c r="F95" s="924"/>
      <c r="G95" s="351"/>
      <c r="H95" s="886"/>
      <c r="I95" s="762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256" customFormat="1">
      <c r="A96" s="901">
        <f>ROW()</f>
        <v>96</v>
      </c>
      <c r="B96" s="921">
        <v>51204001</v>
      </c>
      <c r="C96" s="860" t="s">
        <v>130</v>
      </c>
      <c r="D96" s="925">
        <v>5176408.54</v>
      </c>
      <c r="E96" s="923"/>
      <c r="F96" s="924"/>
      <c r="G96" s="351"/>
      <c r="H96" s="886"/>
      <c r="I96" s="762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256" customFormat="1">
      <c r="A97" s="901">
        <f>ROW()</f>
        <v>97</v>
      </c>
      <c r="B97" s="921">
        <v>51205001</v>
      </c>
      <c r="C97" s="860" t="s">
        <v>131</v>
      </c>
      <c r="D97" s="925">
        <v>4412220.6900000004</v>
      </c>
      <c r="E97" s="923"/>
      <c r="F97" s="924"/>
      <c r="G97" s="351"/>
      <c r="H97" s="886"/>
      <c r="I97" s="76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256" customFormat="1">
      <c r="A98" s="901">
        <f>ROW()</f>
        <v>98</v>
      </c>
      <c r="B98" s="921">
        <v>51304001</v>
      </c>
      <c r="C98" s="860" t="s">
        <v>132</v>
      </c>
      <c r="D98" s="925">
        <v>578522.5</v>
      </c>
      <c r="E98" s="923"/>
      <c r="F98" s="924"/>
      <c r="G98" s="351"/>
      <c r="H98" s="886"/>
      <c r="I98" s="762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256" customFormat="1">
      <c r="A99" s="901">
        <f>ROW()</f>
        <v>99</v>
      </c>
      <c r="B99" s="921">
        <v>51305001</v>
      </c>
      <c r="C99" s="860" t="s">
        <v>133</v>
      </c>
      <c r="D99" s="925">
        <v>538075.81999999995</v>
      </c>
      <c r="E99" s="923"/>
      <c r="F99" s="924"/>
      <c r="G99" s="351"/>
      <c r="H99" s="886"/>
      <c r="I99" s="762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256" customFormat="1">
      <c r="A100" s="901">
        <f>ROW()</f>
        <v>100</v>
      </c>
      <c r="B100" s="921">
        <v>51404001</v>
      </c>
      <c r="C100" s="860" t="s">
        <v>134</v>
      </c>
      <c r="D100" s="925">
        <v>1264419.28</v>
      </c>
      <c r="E100" s="923"/>
      <c r="F100" s="924"/>
      <c r="G100" s="351"/>
      <c r="H100" s="886"/>
      <c r="I100" s="762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256" customFormat="1">
      <c r="A101" s="901">
        <f>ROW()</f>
        <v>101</v>
      </c>
      <c r="B101" s="921">
        <v>51405001</v>
      </c>
      <c r="C101" s="860" t="s">
        <v>135</v>
      </c>
      <c r="D101" s="925">
        <v>863749.4</v>
      </c>
      <c r="E101" s="923"/>
      <c r="F101" s="924"/>
      <c r="G101" s="351"/>
      <c r="H101" s="886"/>
      <c r="I101" s="762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256" customFormat="1">
      <c r="A102" s="901">
        <f>ROW()</f>
        <v>102</v>
      </c>
      <c r="B102" s="926">
        <v>50604002</v>
      </c>
      <c r="C102" s="339" t="s">
        <v>669</v>
      </c>
      <c r="D102" s="925">
        <v>400000</v>
      </c>
      <c r="E102" s="923"/>
      <c r="F102" s="924"/>
      <c r="G102" s="351"/>
      <c r="H102" s="886"/>
      <c r="I102" s="76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256" customFormat="1">
      <c r="A103" s="901">
        <f>ROW()</f>
        <v>103</v>
      </c>
      <c r="B103" s="926">
        <v>50604003</v>
      </c>
      <c r="C103" s="339" t="s">
        <v>670</v>
      </c>
      <c r="D103" s="925">
        <v>-3437598</v>
      </c>
      <c r="E103" s="923"/>
      <c r="F103" s="924"/>
      <c r="G103" s="351"/>
      <c r="H103" s="886"/>
      <c r="I103" s="762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256" customFormat="1">
      <c r="A104" s="901">
        <f>ROW()</f>
        <v>104</v>
      </c>
      <c r="B104" s="926">
        <v>50604004</v>
      </c>
      <c r="C104" s="339" t="s">
        <v>671</v>
      </c>
      <c r="D104" s="925">
        <v>785531</v>
      </c>
      <c r="E104" s="923"/>
      <c r="F104" s="924"/>
      <c r="G104" s="351"/>
      <c r="H104" s="886"/>
      <c r="I104" s="762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256" customFormat="1">
      <c r="A105" s="901">
        <f>ROW()</f>
        <v>105</v>
      </c>
      <c r="B105" s="926">
        <v>50605003</v>
      </c>
      <c r="C105" s="339" t="s">
        <v>672</v>
      </c>
      <c r="D105" s="925">
        <v>-1636257</v>
      </c>
      <c r="E105" s="923"/>
      <c r="F105" s="924"/>
      <c r="G105" s="351"/>
      <c r="H105" s="886"/>
      <c r="I105" s="762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256" customFormat="1">
      <c r="A106" s="901">
        <f>ROW()</f>
        <v>106</v>
      </c>
      <c r="B106" s="926">
        <v>50605004</v>
      </c>
      <c r="C106" s="339" t="s">
        <v>673</v>
      </c>
      <c r="D106" s="927">
        <v>1458844</v>
      </c>
      <c r="E106" s="923"/>
      <c r="F106" s="924"/>
      <c r="G106" s="351"/>
      <c r="H106" s="886"/>
      <c r="I106" s="762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256" customFormat="1">
      <c r="A107" s="901">
        <f>ROW()</f>
        <v>107</v>
      </c>
      <c r="B107" s="928"/>
      <c r="C107" s="886" t="s">
        <v>136</v>
      </c>
      <c r="D107" s="351">
        <f>SUM(D82:D106)</f>
        <v>27752535.120000001</v>
      </c>
      <c r="E107" s="351"/>
      <c r="F107" s="924"/>
      <c r="G107" s="924"/>
      <c r="H107" s="886"/>
      <c r="I107" s="762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256" customFormat="1" ht="13.5">
      <c r="A108" s="901">
        <f>ROW()</f>
        <v>108</v>
      </c>
      <c r="B108" s="928"/>
      <c r="C108" s="929" t="s">
        <v>137</v>
      </c>
      <c r="D108" s="1120">
        <f>'ProdO&amp;M'!L31</f>
        <v>11956364.79342008</v>
      </c>
      <c r="E108" s="351"/>
      <c r="F108" s="924"/>
      <c r="G108" s="924"/>
      <c r="H108" s="886"/>
      <c r="I108" s="76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3.5">
      <c r="A109" s="901">
        <f>ROW()</f>
        <v>109</v>
      </c>
      <c r="B109" s="930"/>
      <c r="C109" s="105" t="s">
        <v>138</v>
      </c>
      <c r="D109" s="1253">
        <f>SUM(D107:D108)</f>
        <v>39708899.913420081</v>
      </c>
      <c r="E109" s="745">
        <f>D109-SUM('ProdO&amp;M'!H6:H8)-'ProdO&amp;M'!L31</f>
        <v>0</v>
      </c>
      <c r="F109" s="105"/>
      <c r="G109" s="105"/>
      <c r="H109" s="105"/>
      <c r="I109" s="105"/>
    </row>
    <row r="110" spans="1:24">
      <c r="A110" s="901">
        <f>ROW()</f>
        <v>110</v>
      </c>
      <c r="B110" s="930"/>
      <c r="C110" s="759" t="s">
        <v>139</v>
      </c>
      <c r="D110" s="932">
        <v>9294613</v>
      </c>
      <c r="E110" s="105"/>
      <c r="F110" s="105"/>
      <c r="G110" s="105"/>
      <c r="H110" s="105"/>
      <c r="I110" s="105"/>
    </row>
    <row r="111" spans="1:24">
      <c r="A111" s="901">
        <f>ROW()</f>
        <v>111</v>
      </c>
      <c r="B111" s="930"/>
      <c r="C111" s="759" t="s">
        <v>140</v>
      </c>
      <c r="D111" s="128">
        <v>1682986</v>
      </c>
      <c r="E111" s="105"/>
      <c r="F111" s="105"/>
      <c r="G111" s="105"/>
      <c r="H111" s="105"/>
      <c r="I111" s="105"/>
    </row>
    <row r="112" spans="1:24">
      <c r="A112" s="901">
        <f>ROW()</f>
        <v>112</v>
      </c>
      <c r="B112" s="930" t="s">
        <v>141</v>
      </c>
      <c r="C112" s="105" t="s">
        <v>584</v>
      </c>
      <c r="D112" s="931">
        <f>H67</f>
        <v>12477624.716000006</v>
      </c>
      <c r="E112" s="105"/>
      <c r="F112" s="105"/>
      <c r="G112" s="105"/>
      <c r="H112" s="105"/>
      <c r="I112" s="105"/>
    </row>
    <row r="113" spans="1:9" ht="14.25" thickBot="1">
      <c r="A113" s="901">
        <f>ROW()</f>
        <v>113</v>
      </c>
      <c r="B113" s="930"/>
      <c r="C113" s="105"/>
      <c r="D113" s="1254">
        <f>D109+D110+D111+D112</f>
        <v>63164123.629420087</v>
      </c>
      <c r="E113" s="105"/>
      <c r="F113" s="105"/>
      <c r="G113" s="105"/>
      <c r="H113" s="105"/>
      <c r="I113" s="105"/>
    </row>
    <row r="114" spans="1:9" ht="13.5" thickTop="1"/>
    <row r="115" spans="1:9">
      <c r="F115"/>
    </row>
    <row r="116" spans="1:9">
      <c r="B116"/>
      <c r="F116"/>
    </row>
    <row r="117" spans="1:9">
      <c r="F117"/>
    </row>
    <row r="118" spans="1:9">
      <c r="F118"/>
    </row>
    <row r="119" spans="1:9">
      <c r="I119"/>
    </row>
    <row r="120" spans="1:9">
      <c r="I120"/>
    </row>
    <row r="121" spans="1:9">
      <c r="I121"/>
    </row>
    <row r="122" spans="1:9">
      <c r="I122"/>
    </row>
    <row r="123" spans="1:9">
      <c r="I123"/>
    </row>
    <row r="124" spans="1:9">
      <c r="I124"/>
    </row>
    <row r="125" spans="1:9">
      <c r="I125"/>
    </row>
    <row r="126" spans="1:9">
      <c r="I126"/>
    </row>
    <row r="127" spans="1:9">
      <c r="I127"/>
    </row>
    <row r="128" spans="1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</sheetData>
  <mergeCells count="1">
    <mergeCell ref="E1:F1"/>
  </mergeCells>
  <phoneticPr fontId="16" type="noConversion"/>
  <conditionalFormatting sqref="E109">
    <cfRule type="cellIs" dxfId="1" priority="1" operator="notEqual">
      <formula>0</formula>
    </cfRule>
  </conditionalFormatting>
  <printOptions horizontalCentered="1"/>
  <pageMargins left="0.25" right="0.25" top="0.66" bottom="1" header="0.4" footer="0.5"/>
  <pageSetup scale="70" fitToHeight="2" orientation="portrait" r:id="rId1"/>
  <headerFooter alignWithMargins="0">
    <oddHeader xml:space="preserve">&amp;R&amp;"Arial,Bold"
</oddHeader>
    <oddFooter>&amp;L&amp;"Helv,Bold Italic"&amp;10Amounts presented in bold italic type have changed since the September 1, 2011 supplemental filing.</oddFooter>
  </headerFooter>
  <rowBreaks count="1" manualBreakCount="1">
    <brk id="7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F135"/>
  <sheetViews>
    <sheetView topLeftCell="A70" zoomScaleNormal="100" workbookViewId="0">
      <selection activeCell="F2" sqref="F2"/>
    </sheetView>
  </sheetViews>
  <sheetFormatPr defaultRowHeight="12.75"/>
  <cols>
    <col min="1" max="1" width="6.83203125" style="7" customWidth="1"/>
    <col min="2" max="2" width="75.1640625" style="7" customWidth="1"/>
    <col min="3" max="3" width="17.83203125" style="7" bestFit="1" customWidth="1"/>
    <col min="4" max="4" width="15.5" style="7" bestFit="1" customWidth="1"/>
    <col min="5" max="5" width="17.83203125" style="7" bestFit="1" customWidth="1"/>
    <col min="6" max="6" width="16" style="118" bestFit="1" customWidth="1"/>
    <col min="7" max="16384" width="9.33203125" style="118"/>
  </cols>
  <sheetData>
    <row r="1" spans="1:6" ht="13.5" thickBot="1">
      <c r="A1" s="16"/>
      <c r="D1" s="1"/>
      <c r="E1" s="1"/>
      <c r="F1" s="1257" t="s">
        <v>1405</v>
      </c>
    </row>
    <row r="2" spans="1:6" ht="16.5" thickBot="1">
      <c r="A2" s="107"/>
      <c r="C2" s="1483" t="s">
        <v>1491</v>
      </c>
      <c r="D2" s="1485"/>
      <c r="E2" s="744"/>
      <c r="F2" s="1257" t="s">
        <v>1412</v>
      </c>
    </row>
    <row r="3" spans="1:6">
      <c r="A3" s="107"/>
      <c r="B3" s="16" t="s">
        <v>1410</v>
      </c>
      <c r="D3" s="1"/>
      <c r="E3" s="744"/>
    </row>
    <row r="4" spans="1:6" ht="13.5" thickTop="1">
      <c r="A4" s="16"/>
      <c r="B4" s="16"/>
      <c r="D4" s="27"/>
      <c r="E4" s="1"/>
    </row>
    <row r="5" spans="1:6">
      <c r="A5" s="16"/>
      <c r="B5" s="16"/>
      <c r="C5" s="16"/>
      <c r="D5" s="16"/>
      <c r="E5" s="16"/>
    </row>
    <row r="6" spans="1:6">
      <c r="A6" s="18" t="s">
        <v>1284</v>
      </c>
      <c r="B6" s="17"/>
      <c r="C6" s="17"/>
      <c r="D6" s="17"/>
      <c r="E6" s="17"/>
    </row>
    <row r="7" spans="1:6">
      <c r="A7" s="17" t="s">
        <v>142</v>
      </c>
      <c r="B7" s="17"/>
      <c r="C7" s="17"/>
      <c r="D7" s="17"/>
      <c r="E7" s="19"/>
    </row>
    <row r="8" spans="1:6">
      <c r="A8" s="17" t="str">
        <f>TESTYEAR</f>
        <v>FOR THE TWELVE MONTHS ENDED DECEMBER 31, 2010</v>
      </c>
      <c r="B8" s="17"/>
      <c r="C8" s="17"/>
      <c r="D8" s="17"/>
      <c r="E8" s="20"/>
    </row>
    <row r="9" spans="1:6">
      <c r="A9" s="17" t="s">
        <v>57</v>
      </c>
      <c r="B9" s="17"/>
      <c r="C9" s="17"/>
      <c r="D9" s="17"/>
      <c r="E9" s="20"/>
    </row>
    <row r="10" spans="1:6" ht="13.5">
      <c r="A10" s="16"/>
      <c r="C10" s="572" t="s">
        <v>503</v>
      </c>
      <c r="D10" s="572" t="s">
        <v>503</v>
      </c>
      <c r="E10" s="572" t="s">
        <v>503</v>
      </c>
      <c r="F10" s="4" t="s">
        <v>1381</v>
      </c>
    </row>
    <row r="11" spans="1:6">
      <c r="A11" s="25" t="s">
        <v>1153</v>
      </c>
      <c r="B11" s="16"/>
      <c r="C11" s="4" t="s">
        <v>1175</v>
      </c>
      <c r="D11" s="4" t="s">
        <v>1174</v>
      </c>
      <c r="E11" s="4" t="s">
        <v>540</v>
      </c>
      <c r="F11" s="4" t="s">
        <v>838</v>
      </c>
    </row>
    <row r="12" spans="1:6">
      <c r="A12" s="11" t="s">
        <v>1179</v>
      </c>
      <c r="B12" s="76" t="s">
        <v>323</v>
      </c>
      <c r="C12" s="11" t="s">
        <v>606</v>
      </c>
      <c r="D12" s="561">
        <f>'Production Factor'!F21</f>
        <v>2.0990000000000002E-2</v>
      </c>
      <c r="E12" s="70">
        <f>FIT</f>
        <v>0.35</v>
      </c>
      <c r="F12" s="1075"/>
    </row>
    <row r="13" spans="1:6">
      <c r="C13" s="8" t="s">
        <v>810</v>
      </c>
      <c r="D13" s="1181" t="s">
        <v>812</v>
      </c>
      <c r="F13" s="1181" t="s">
        <v>1382</v>
      </c>
    </row>
    <row r="14" spans="1:6">
      <c r="A14" s="8">
        <v>1</v>
      </c>
      <c r="B14" s="127" t="s">
        <v>608</v>
      </c>
      <c r="D14" s="123"/>
      <c r="E14" s="233"/>
    </row>
    <row r="15" spans="1:6">
      <c r="A15" s="8">
        <f t="shared" ref="A15:A89" si="0">A14+1</f>
        <v>2</v>
      </c>
      <c r="B15" s="9" t="s">
        <v>1119</v>
      </c>
      <c r="C15" s="128"/>
      <c r="D15" s="128"/>
      <c r="E15" s="128"/>
    </row>
    <row r="16" spans="1:6" ht="13.5">
      <c r="A16" s="8">
        <f t="shared" si="0"/>
        <v>3</v>
      </c>
      <c r="B16" s="9" t="s">
        <v>1272</v>
      </c>
      <c r="C16" s="1099">
        <f>'JHS-20'!BB15</f>
        <v>79703.050959696149</v>
      </c>
      <c r="D16" s="1099">
        <f>'JHS-20'!BC15</f>
        <v>-1672.9670396440224</v>
      </c>
      <c r="E16" s="1099">
        <f>'JHS-20'!BD15</f>
        <v>586</v>
      </c>
      <c r="F16" s="1099">
        <f>C16+D16</f>
        <v>78030.08392005213</v>
      </c>
    </row>
    <row r="17" spans="1:6" ht="13.5">
      <c r="A17" s="8">
        <f t="shared" si="0"/>
        <v>4</v>
      </c>
      <c r="B17" s="9" t="s">
        <v>1273</v>
      </c>
      <c r="C17" s="1095">
        <f>'JHS-20'!BB16</f>
        <v>243956.35415977897</v>
      </c>
      <c r="D17" s="1095">
        <f>'JHS-20'!BC16</f>
        <v>-5120.6438738137613</v>
      </c>
      <c r="E17" s="1095">
        <f>'JHS-20'!BD16</f>
        <v>1792</v>
      </c>
      <c r="F17" s="1099">
        <f>C17+D17</f>
        <v>238835.71028596521</v>
      </c>
    </row>
    <row r="18" spans="1:6" ht="13.5">
      <c r="A18" s="8">
        <f t="shared" si="0"/>
        <v>5</v>
      </c>
      <c r="B18" s="7" t="s">
        <v>1120</v>
      </c>
      <c r="C18" s="1182">
        <f>'JHS-20'!BB17</f>
        <v>323659.40511947509</v>
      </c>
      <c r="D18" s="1182">
        <f>'JHS-20'!BC17</f>
        <v>-6793.6109134577837</v>
      </c>
      <c r="E18" s="1182">
        <f>'JHS-20'!BD17</f>
        <v>2378</v>
      </c>
      <c r="F18" s="1176">
        <f>C18+D18</f>
        <v>316865.79420601734</v>
      </c>
    </row>
    <row r="19" spans="1:6">
      <c r="A19" s="8">
        <f t="shared" si="0"/>
        <v>6</v>
      </c>
      <c r="C19" s="153"/>
      <c r="D19" s="153"/>
      <c r="E19" s="153"/>
    </row>
    <row r="20" spans="1:6">
      <c r="A20" s="8">
        <f t="shared" si="0"/>
        <v>7</v>
      </c>
      <c r="B20" s="7" t="s">
        <v>1229</v>
      </c>
      <c r="C20" s="151"/>
      <c r="D20" s="151"/>
      <c r="E20" s="151"/>
    </row>
    <row r="21" spans="1:6" ht="13.5">
      <c r="A21" s="8">
        <f t="shared" si="0"/>
        <v>8</v>
      </c>
      <c r="B21" s="9" t="s">
        <v>366</v>
      </c>
      <c r="C21" s="424">
        <f>'JHS-20'!BB20</f>
        <v>5009923.6698797224</v>
      </c>
      <c r="D21" s="424">
        <f>'JHS-20'!BC20</f>
        <v>-105158.29783077538</v>
      </c>
      <c r="E21" s="424">
        <f>'JHS-20'!BD20</f>
        <v>36805</v>
      </c>
      <c r="F21" s="1099">
        <f>C21+D21</f>
        <v>4904765.372048947</v>
      </c>
    </row>
    <row r="22" spans="1:6">
      <c r="A22" s="8">
        <f t="shared" si="0"/>
        <v>9</v>
      </c>
      <c r="B22" s="9" t="s">
        <v>381</v>
      </c>
      <c r="C22" s="147">
        <f>'JHS-20'!BB21</f>
        <v>2835322</v>
      </c>
      <c r="D22" s="147">
        <f>'JHS-20'!BC21</f>
        <v>-59513.408780000005</v>
      </c>
      <c r="E22" s="147">
        <f>'JHS-20'!BD21</f>
        <v>20830</v>
      </c>
      <c r="F22" s="129">
        <f>C22+D22</f>
        <v>2775808.5912199998</v>
      </c>
    </row>
    <row r="23" spans="1:6" ht="13.5">
      <c r="A23" s="8">
        <f t="shared" si="0"/>
        <v>10</v>
      </c>
      <c r="B23" s="9" t="s">
        <v>607</v>
      </c>
      <c r="C23" s="1117">
        <f>'JHS-20'!BB22</f>
        <v>7845245.6698797224</v>
      </c>
      <c r="D23" s="1117">
        <f>'JHS-20'!BC22</f>
        <v>-164671.70661077538</v>
      </c>
      <c r="E23" s="1117">
        <f>'JHS-20'!BD22</f>
        <v>57635</v>
      </c>
      <c r="F23" s="1176">
        <f>C23+D23</f>
        <v>7680573.9632689469</v>
      </c>
    </row>
    <row r="24" spans="1:6">
      <c r="A24" s="8">
        <f t="shared" si="0"/>
        <v>11</v>
      </c>
      <c r="B24" s="9"/>
      <c r="C24" s="153"/>
      <c r="D24" s="153"/>
      <c r="E24" s="153"/>
    </row>
    <row r="25" spans="1:6">
      <c r="A25" s="8">
        <f t="shared" si="0"/>
        <v>12</v>
      </c>
      <c r="B25" s="9" t="s">
        <v>837</v>
      </c>
      <c r="C25" s="128"/>
      <c r="D25" s="128"/>
      <c r="E25" s="128"/>
    </row>
    <row r="26" spans="1:6" ht="13.5">
      <c r="A26" s="8">
        <f t="shared" si="0"/>
        <v>13</v>
      </c>
      <c r="B26" s="9" t="s">
        <v>1283</v>
      </c>
      <c r="C26" s="424">
        <f>'JHS-20'!BB25</f>
        <v>95731477.877931997</v>
      </c>
      <c r="D26" s="424">
        <f>'JHS-20'!BC25</f>
        <v>-2009403.7206577929</v>
      </c>
      <c r="E26" s="424">
        <f>'JHS-20'!BD25</f>
        <v>820704.2085951023</v>
      </c>
      <c r="F26" s="1099">
        <f>C26+D26</f>
        <v>93722074.157274202</v>
      </c>
    </row>
    <row r="27" spans="1:6">
      <c r="A27" s="8">
        <f t="shared" si="0"/>
        <v>14</v>
      </c>
      <c r="B27" s="9" t="s">
        <v>595</v>
      </c>
      <c r="C27" s="128">
        <f>'JHS-20'!BB26</f>
        <v>11264042.390000001</v>
      </c>
      <c r="D27" s="128">
        <f>'JHS-20'!BC26</f>
        <v>-236432.24976610002</v>
      </c>
      <c r="E27" s="128">
        <f>'JHS-20'!BD26</f>
        <v>80107.149087669197</v>
      </c>
      <c r="F27" s="129">
        <f>C27+D27</f>
        <v>11027610.1402339</v>
      </c>
    </row>
    <row r="28" spans="1:6" ht="13.5">
      <c r="A28" s="8">
        <f t="shared" si="0"/>
        <v>15</v>
      </c>
      <c r="B28" s="9" t="s">
        <v>158</v>
      </c>
      <c r="C28" s="1117">
        <f>'JHS-20'!BB27</f>
        <v>106995520.267932</v>
      </c>
      <c r="D28" s="1117">
        <f>'JHS-20'!BC27</f>
        <v>-2245835.9704238931</v>
      </c>
      <c r="E28" s="1117">
        <f>'JHS-20'!BD27</f>
        <v>900811.35768277152</v>
      </c>
      <c r="F28" s="1176">
        <f>C28+D28</f>
        <v>104749684.29750811</v>
      </c>
    </row>
    <row r="29" spans="1:6">
      <c r="A29" s="8">
        <f t="shared" si="0"/>
        <v>16</v>
      </c>
      <c r="C29" s="153"/>
      <c r="D29" s="153"/>
      <c r="E29" s="153"/>
    </row>
    <row r="30" spans="1:6">
      <c r="A30" s="8">
        <f t="shared" si="0"/>
        <v>17</v>
      </c>
      <c r="B30" s="9" t="s">
        <v>1274</v>
      </c>
      <c r="C30" s="151"/>
      <c r="D30" s="151"/>
      <c r="E30" s="151"/>
    </row>
    <row r="31" spans="1:6">
      <c r="A31" s="8">
        <f t="shared" si="0"/>
        <v>18</v>
      </c>
      <c r="B31" s="9" t="s">
        <v>63</v>
      </c>
      <c r="C31" s="128">
        <f>'JHS-20'!BB30</f>
        <v>7169159</v>
      </c>
      <c r="D31" s="128">
        <f>'JHS-20'!BC30</f>
        <v>-150480.64741000001</v>
      </c>
      <c r="E31" s="128">
        <f>'JHS-20'!BD30</f>
        <v>52668</v>
      </c>
      <c r="F31" s="129">
        <f>C31+D31</f>
        <v>7018678.3525900003</v>
      </c>
    </row>
    <row r="32" spans="1:6">
      <c r="A32" s="8">
        <f t="shared" si="0"/>
        <v>19</v>
      </c>
      <c r="B32" s="9" t="s">
        <v>64</v>
      </c>
      <c r="C32" s="128">
        <f>'JHS-20'!BB31</f>
        <v>7050410</v>
      </c>
      <c r="D32" s="128">
        <f>'JHS-20'!BC31</f>
        <v>-147988.10590000002</v>
      </c>
      <c r="E32" s="128">
        <f>'JHS-20'!BD31</f>
        <v>51796</v>
      </c>
      <c r="F32" s="129">
        <f>C32+D32</f>
        <v>6902421.8941000002</v>
      </c>
    </row>
    <row r="33" spans="1:6" ht="13.5">
      <c r="A33" s="8">
        <f t="shared" si="0"/>
        <v>20</v>
      </c>
      <c r="B33" s="9" t="s">
        <v>65</v>
      </c>
      <c r="C33" s="1095">
        <f>'JHS-20'!BB32</f>
        <v>1682986.3141500002</v>
      </c>
      <c r="D33" s="1095">
        <f>'JHS-20'!BC32</f>
        <v>-35325.882734008504</v>
      </c>
      <c r="E33" s="1095">
        <f>'JHS-20'!BD32</f>
        <v>12364</v>
      </c>
      <c r="F33" s="1099">
        <f>C33+D33</f>
        <v>1647660.4314159916</v>
      </c>
    </row>
    <row r="34" spans="1:6" ht="13.5">
      <c r="A34" s="8">
        <f t="shared" si="0"/>
        <v>21</v>
      </c>
      <c r="B34" s="9" t="s">
        <v>604</v>
      </c>
      <c r="C34" s="1095">
        <f>'JHS-20'!BB33</f>
        <v>2022345.8613809925</v>
      </c>
      <c r="D34" s="1095">
        <f>'JHS-20'!BC33</f>
        <v>-42449.039630387037</v>
      </c>
      <c r="E34" s="1095">
        <f>'JHS-20'!BD33</f>
        <v>14857</v>
      </c>
      <c r="F34" s="1099">
        <f>C34+D34</f>
        <v>1979896.8217506055</v>
      </c>
    </row>
    <row r="35" spans="1:6" ht="13.5">
      <c r="A35" s="8">
        <f t="shared" si="0"/>
        <v>22</v>
      </c>
      <c r="B35" s="9" t="s">
        <v>867</v>
      </c>
      <c r="C35" s="1117">
        <f>'JHS-20'!BB34</f>
        <v>17924901.175530992</v>
      </c>
      <c r="D35" s="1117">
        <f>'JHS-20'!BC34</f>
        <v>-376243.67567439558</v>
      </c>
      <c r="E35" s="1117">
        <f>'JHS-20'!BD34</f>
        <v>131685</v>
      </c>
      <c r="F35" s="1176">
        <f>C35+D35</f>
        <v>17548657.499856599</v>
      </c>
    </row>
    <row r="36" spans="1:6">
      <c r="A36" s="8">
        <f t="shared" si="0"/>
        <v>23</v>
      </c>
      <c r="B36" s="9"/>
      <c r="C36" s="153"/>
      <c r="D36" s="153"/>
      <c r="E36" s="153"/>
    </row>
    <row r="37" spans="1:6">
      <c r="A37" s="8">
        <f t="shared" si="0"/>
        <v>24</v>
      </c>
      <c r="B37" s="63" t="s">
        <v>286</v>
      </c>
      <c r="C37" s="151"/>
      <c r="D37" s="151"/>
      <c r="E37" s="151"/>
    </row>
    <row r="38" spans="1:6">
      <c r="A38" s="8">
        <f t="shared" si="0"/>
        <v>25</v>
      </c>
      <c r="B38" s="9"/>
      <c r="C38" s="151"/>
      <c r="D38" s="128"/>
      <c r="E38" s="128"/>
    </row>
    <row r="39" spans="1:6">
      <c r="A39" s="8">
        <f t="shared" si="0"/>
        <v>26</v>
      </c>
      <c r="B39" s="9" t="s">
        <v>1272</v>
      </c>
      <c r="C39" s="151">
        <f>'JHS-20'!BB38</f>
        <v>776099.49929999991</v>
      </c>
      <c r="D39" s="128">
        <f>'JHS-20'!BC38</f>
        <v>-16290.328490307</v>
      </c>
      <c r="E39" s="128">
        <f>'JHS-20'!BD38</f>
        <v>5702</v>
      </c>
      <c r="F39" s="129">
        <f>C39+D39</f>
        <v>759809.17080969294</v>
      </c>
    </row>
    <row r="40" spans="1:6" ht="13.5">
      <c r="A40" s="8">
        <f t="shared" si="0"/>
        <v>27</v>
      </c>
      <c r="B40" s="9" t="s">
        <v>368</v>
      </c>
      <c r="C40" s="424">
        <f>'JHS-20'!BB39</f>
        <v>6884867.0464579072</v>
      </c>
      <c r="D40" s="1095">
        <f>'JHS-20'!BC39</f>
        <v>-144513.35930515148</v>
      </c>
      <c r="E40" s="1095">
        <f>'JHS-20'!BD39</f>
        <v>50580</v>
      </c>
      <c r="F40" s="1099">
        <f t="shared" ref="F40:F45" si="1">C40+D40</f>
        <v>6740353.6871527554</v>
      </c>
    </row>
    <row r="41" spans="1:6">
      <c r="A41" s="8">
        <f t="shared" si="0"/>
        <v>28</v>
      </c>
      <c r="B41" s="9" t="s">
        <v>33</v>
      </c>
      <c r="C41" s="151">
        <f>'JHS-20'!BB40</f>
        <v>0</v>
      </c>
      <c r="D41" s="128">
        <f>'JHS-20'!BC40</f>
        <v>0</v>
      </c>
      <c r="E41" s="128">
        <f>'JHS-20'!BD40</f>
        <v>0</v>
      </c>
      <c r="F41" s="129">
        <f t="shared" si="1"/>
        <v>0</v>
      </c>
    </row>
    <row r="42" spans="1:6">
      <c r="A42" s="8">
        <f t="shared" si="0"/>
        <v>29</v>
      </c>
      <c r="B42" s="9" t="s">
        <v>1202</v>
      </c>
      <c r="C42" s="151">
        <f>'JHS-20'!BB41</f>
        <v>10891022.50639385</v>
      </c>
      <c r="D42" s="151">
        <f>'JHS-20'!BC41</f>
        <v>-228602.56240920693</v>
      </c>
      <c r="E42" s="151">
        <f>'JHS-20'!BD41</f>
        <v>80011</v>
      </c>
      <c r="F42" s="129">
        <f t="shared" si="1"/>
        <v>10662419.943984643</v>
      </c>
    </row>
    <row r="43" spans="1:6" ht="13.5">
      <c r="A43" s="8">
        <f t="shared" si="0"/>
        <v>30</v>
      </c>
      <c r="B43" s="9" t="s">
        <v>381</v>
      </c>
      <c r="C43" s="424">
        <f>'JHS-20'!BB42</f>
        <v>521840.79016554449</v>
      </c>
      <c r="D43" s="424">
        <f>'JHS-20'!BC42</f>
        <v>-10953.43818557478</v>
      </c>
      <c r="E43" s="424">
        <f>'JHS-20'!BD42</f>
        <v>3834</v>
      </c>
      <c r="F43" s="1099">
        <f t="shared" si="1"/>
        <v>510887.35197996971</v>
      </c>
    </row>
    <row r="44" spans="1:6" ht="13.5">
      <c r="A44" s="8">
        <f t="shared" si="0"/>
        <v>31</v>
      </c>
      <c r="B44" s="9" t="s">
        <v>694</v>
      </c>
      <c r="C44" s="424">
        <f>'JHS-20'!BB43</f>
        <v>1932987</v>
      </c>
      <c r="D44" s="424">
        <f>'JHS-20'!BC43</f>
        <v>-40573.397130000005</v>
      </c>
      <c r="E44" s="424">
        <f>'JHS-20'!BD43</f>
        <v>14201</v>
      </c>
      <c r="F44" s="1099">
        <f t="shared" si="1"/>
        <v>1892413.6028700001</v>
      </c>
    </row>
    <row r="45" spans="1:6" ht="13.5">
      <c r="A45" s="8">
        <f t="shared" si="0"/>
        <v>32</v>
      </c>
      <c r="B45" s="9" t="s">
        <v>287</v>
      </c>
      <c r="C45" s="1119">
        <f>'JHS-20'!BB44</f>
        <v>21006816.842317302</v>
      </c>
      <c r="D45" s="1119">
        <f>'JHS-20'!BC44</f>
        <v>-440933.08552024019</v>
      </c>
      <c r="E45" s="1119">
        <f>'JHS-20'!BD44</f>
        <v>154328</v>
      </c>
      <c r="F45" s="1176">
        <f t="shared" si="1"/>
        <v>20565883.75679706</v>
      </c>
    </row>
    <row r="46" spans="1:6">
      <c r="A46" s="8">
        <f t="shared" si="0"/>
        <v>33</v>
      </c>
      <c r="B46" s="9"/>
      <c r="C46" s="151"/>
      <c r="D46" s="151"/>
      <c r="E46" s="151"/>
    </row>
    <row r="47" spans="1:6">
      <c r="A47" s="8">
        <f t="shared" si="0"/>
        <v>34</v>
      </c>
      <c r="B47" s="127" t="s">
        <v>1121</v>
      </c>
      <c r="C47" s="151"/>
      <c r="D47" s="151"/>
      <c r="E47" s="151"/>
    </row>
    <row r="48" spans="1:6">
      <c r="A48" s="8">
        <f t="shared" si="0"/>
        <v>35</v>
      </c>
      <c r="B48" s="269" t="s">
        <v>662</v>
      </c>
      <c r="C48" s="351">
        <f>'JHS-20'!BB47</f>
        <v>3526620</v>
      </c>
      <c r="D48" s="128">
        <f>'JHS-20'!BC47</f>
        <v>-74023.753800000006</v>
      </c>
      <c r="E48" s="128">
        <f>'JHS-20'!BD47</f>
        <v>25908</v>
      </c>
      <c r="F48" s="129">
        <f>C48+D48</f>
        <v>3452596.2461999999</v>
      </c>
    </row>
    <row r="49" spans="1:6">
      <c r="A49" s="8">
        <f t="shared" si="0"/>
        <v>36</v>
      </c>
      <c r="B49" s="269" t="s">
        <v>679</v>
      </c>
      <c r="C49" s="351">
        <f>'JHS-20'!BB48</f>
        <v>1494701.7220710255</v>
      </c>
      <c r="D49" s="128">
        <f>'JHS-20'!BC48</f>
        <v>-31373.789146270828</v>
      </c>
      <c r="E49" s="128">
        <f>'JHS-20'!BD48</f>
        <v>10981</v>
      </c>
      <c r="F49" s="129">
        <f t="shared" ref="F49:F66" si="2">C49+D49</f>
        <v>1463327.9329247547</v>
      </c>
    </row>
    <row r="50" spans="1:6">
      <c r="A50" s="8">
        <f t="shared" si="0"/>
        <v>37</v>
      </c>
      <c r="B50" s="269" t="s">
        <v>545</v>
      </c>
      <c r="C50" s="351">
        <f>'JHS-20'!BB49</f>
        <v>0</v>
      </c>
      <c r="D50" s="128">
        <f>'JHS-20'!BC49</f>
        <v>0</v>
      </c>
      <c r="E50" s="128">
        <f>'JHS-20'!BD49</f>
        <v>0</v>
      </c>
      <c r="F50" s="129">
        <f t="shared" si="2"/>
        <v>0</v>
      </c>
    </row>
    <row r="51" spans="1:6">
      <c r="A51" s="8">
        <f t="shared" si="0"/>
        <v>38</v>
      </c>
      <c r="B51" s="269" t="s">
        <v>680</v>
      </c>
      <c r="C51" s="351">
        <f>'JHS-20'!BB50</f>
        <v>0</v>
      </c>
      <c r="D51" s="128">
        <f>'JHS-20'!BC50</f>
        <v>0</v>
      </c>
      <c r="E51" s="128">
        <f>'JHS-20'!BD50</f>
        <v>0</v>
      </c>
      <c r="F51" s="129">
        <f t="shared" si="2"/>
        <v>0</v>
      </c>
    </row>
    <row r="52" spans="1:6">
      <c r="A52" s="8">
        <f t="shared" si="0"/>
        <v>39</v>
      </c>
      <c r="B52" s="269" t="s">
        <v>681</v>
      </c>
      <c r="C52" s="351">
        <f>'JHS-20'!BB51</f>
        <v>0</v>
      </c>
      <c r="D52" s="128">
        <f>'JHS-20'!BC51</f>
        <v>0</v>
      </c>
      <c r="E52" s="128">
        <f>'JHS-20'!BD51</f>
        <v>0</v>
      </c>
      <c r="F52" s="129">
        <f t="shared" si="2"/>
        <v>0</v>
      </c>
    </row>
    <row r="53" spans="1:6">
      <c r="A53" s="8">
        <f t="shared" si="0"/>
        <v>40</v>
      </c>
      <c r="B53" s="269" t="s">
        <v>682</v>
      </c>
      <c r="C53" s="351">
        <f>'JHS-20'!BB52</f>
        <v>0</v>
      </c>
      <c r="D53" s="128">
        <f>'JHS-20'!BC52</f>
        <v>0</v>
      </c>
      <c r="E53" s="128">
        <f>'JHS-20'!BD52</f>
        <v>0</v>
      </c>
      <c r="F53" s="129">
        <f t="shared" si="2"/>
        <v>0</v>
      </c>
    </row>
    <row r="54" spans="1:6">
      <c r="A54" s="8">
        <f t="shared" si="0"/>
        <v>41</v>
      </c>
      <c r="B54" s="269" t="s">
        <v>683</v>
      </c>
      <c r="C54" s="351">
        <f>'JHS-20'!BB53</f>
        <v>-392169.66666666669</v>
      </c>
      <c r="D54" s="128">
        <f>'JHS-20'!BC53</f>
        <v>8231.6413033333338</v>
      </c>
      <c r="E54" s="128">
        <f>'JHS-20'!BD53</f>
        <v>-2881</v>
      </c>
      <c r="F54" s="129">
        <f t="shared" si="2"/>
        <v>-383938.02536333335</v>
      </c>
    </row>
    <row r="55" spans="1:6">
      <c r="A55" s="8">
        <f t="shared" si="0"/>
        <v>42</v>
      </c>
      <c r="B55" s="269" t="s">
        <v>684</v>
      </c>
      <c r="C55" s="351">
        <f>'JHS-20'!BB54</f>
        <v>-537626.2135922329</v>
      </c>
      <c r="D55" s="128">
        <f>'JHS-20'!BC54</f>
        <v>11284.77422330097</v>
      </c>
      <c r="E55" s="128">
        <f>'JHS-20'!BD54</f>
        <v>-3950</v>
      </c>
      <c r="F55" s="129">
        <f t="shared" si="2"/>
        <v>-526341.43936893193</v>
      </c>
    </row>
    <row r="56" spans="1:6">
      <c r="A56" s="8">
        <f t="shared" si="0"/>
        <v>43</v>
      </c>
      <c r="B56" s="269" t="s">
        <v>737</v>
      </c>
      <c r="C56" s="351">
        <f>'JHS-20'!BB55</f>
        <v>2872181.8354855985</v>
      </c>
      <c r="D56" s="128">
        <f>'JHS-20'!BC55</f>
        <v>-60287.096726842719</v>
      </c>
      <c r="E56" s="128">
        <f>'JHS-20'!BD55</f>
        <v>21100</v>
      </c>
      <c r="F56" s="129">
        <f t="shared" si="2"/>
        <v>2811894.7387587558</v>
      </c>
    </row>
    <row r="57" spans="1:6">
      <c r="A57" s="8">
        <f t="shared" si="0"/>
        <v>44</v>
      </c>
      <c r="B57" s="269" t="s">
        <v>738</v>
      </c>
      <c r="C57" s="351">
        <f>'JHS-20'!BB56</f>
        <v>0</v>
      </c>
      <c r="D57" s="128">
        <f>'JHS-20'!BC56</f>
        <v>0</v>
      </c>
      <c r="E57" s="128">
        <f>'JHS-20'!BD56</f>
        <v>0</v>
      </c>
      <c r="F57" s="129">
        <f t="shared" si="2"/>
        <v>0</v>
      </c>
    </row>
    <row r="58" spans="1:6">
      <c r="A58" s="8">
        <f t="shared" si="0"/>
        <v>45</v>
      </c>
      <c r="B58" s="269" t="s">
        <v>1115</v>
      </c>
      <c r="C58" s="351">
        <f>'JHS-20'!BB57</f>
        <v>500000.00000000006</v>
      </c>
      <c r="D58" s="128">
        <f>'JHS-20'!BC57</f>
        <v>-10495.000000000002</v>
      </c>
      <c r="E58" s="128">
        <f>'JHS-20'!BD57</f>
        <v>3673</v>
      </c>
      <c r="F58" s="129">
        <f t="shared" si="2"/>
        <v>489505.00000000006</v>
      </c>
    </row>
    <row r="59" spans="1:6">
      <c r="A59" s="8">
        <f t="shared" si="0"/>
        <v>46</v>
      </c>
      <c r="B59" s="269" t="s">
        <v>1122</v>
      </c>
      <c r="C59" s="351">
        <f>'JHS-20'!BB58</f>
        <v>265155</v>
      </c>
      <c r="D59" s="128">
        <f>'JHS-20'!BC58</f>
        <v>-5565.6034500000005</v>
      </c>
      <c r="E59" s="128">
        <f>'JHS-20'!BD58</f>
        <v>1948</v>
      </c>
      <c r="F59" s="129">
        <f t="shared" si="2"/>
        <v>259589.39655</v>
      </c>
    </row>
    <row r="60" spans="1:6">
      <c r="A60" s="8">
        <f t="shared" si="0"/>
        <v>47</v>
      </c>
      <c r="B60" s="269" t="s">
        <v>1123</v>
      </c>
      <c r="C60" s="351">
        <f>'JHS-20'!BB59</f>
        <v>152585.85869565216</v>
      </c>
      <c r="D60" s="128">
        <f>'JHS-20'!BC59</f>
        <v>-3202.777174021739</v>
      </c>
      <c r="E60" s="128">
        <f>'JHS-20'!BD59</f>
        <v>1121</v>
      </c>
      <c r="F60" s="129">
        <f t="shared" si="2"/>
        <v>149383.08152163043</v>
      </c>
    </row>
    <row r="61" spans="1:6" ht="13.5">
      <c r="A61" s="8">
        <f t="shared" si="0"/>
        <v>48</v>
      </c>
      <c r="B61" s="269" t="s">
        <v>536</v>
      </c>
      <c r="C61" s="1120">
        <f>'JHS-20'!BB60</f>
        <v>697744.73901240679</v>
      </c>
      <c r="D61" s="1095">
        <f>'JHS-20'!BC60</f>
        <v>-14645.66207187042</v>
      </c>
      <c r="E61" s="1095">
        <f>'JHS-20'!BD60</f>
        <v>5126</v>
      </c>
      <c r="F61" s="1099">
        <f t="shared" si="2"/>
        <v>683099.07694053638</v>
      </c>
    </row>
    <row r="62" spans="1:6" s="1174" customFormat="1" ht="13.5">
      <c r="A62" s="8">
        <f t="shared" si="0"/>
        <v>49</v>
      </c>
      <c r="B62" s="269" t="s">
        <v>1380</v>
      </c>
      <c r="C62" s="1120">
        <f>'JHS-20'!BB61</f>
        <v>420202.58515248541</v>
      </c>
      <c r="D62" s="1095">
        <f>'JHS-20'!BC61</f>
        <v>-8820.0522623506695</v>
      </c>
      <c r="E62" s="1095">
        <f>'JHS-20'!BD61</f>
        <v>3087</v>
      </c>
      <c r="F62" s="1099">
        <f t="shared" si="2"/>
        <v>411382.53289013472</v>
      </c>
    </row>
    <row r="63" spans="1:6" s="1174" customFormat="1" ht="13.5">
      <c r="A63" s="8">
        <f t="shared" si="0"/>
        <v>50</v>
      </c>
      <c r="B63" s="269" t="s">
        <v>476</v>
      </c>
      <c r="C63" s="1120">
        <f>'JHS-20'!BB62</f>
        <v>4580590.941704548</v>
      </c>
      <c r="D63" s="1095">
        <f>'JHS-20'!BC62</f>
        <v>-96146.603866378471</v>
      </c>
      <c r="E63" s="1095">
        <f>'JHS-20'!BD62</f>
        <v>33651</v>
      </c>
      <c r="F63" s="1099">
        <f t="shared" si="2"/>
        <v>4484444.3378381692</v>
      </c>
    </row>
    <row r="64" spans="1:6">
      <c r="A64" s="8">
        <f t="shared" si="0"/>
        <v>51</v>
      </c>
      <c r="B64" s="269" t="s">
        <v>1124</v>
      </c>
      <c r="C64" s="351">
        <f>'JHS-20'!BB63</f>
        <v>7088065.5894999942</v>
      </c>
      <c r="D64" s="128">
        <f>'JHS-20'!BC63</f>
        <v>-148778.49672360488</v>
      </c>
      <c r="E64" s="128">
        <f>'JHS-20'!BD63</f>
        <v>52072</v>
      </c>
      <c r="F64" s="129">
        <f t="shared" si="2"/>
        <v>6939287.0927763889</v>
      </c>
    </row>
    <row r="65" spans="1:6">
      <c r="A65" s="8">
        <f t="shared" si="0"/>
        <v>52</v>
      </c>
      <c r="B65" s="269"/>
      <c r="C65" s="351"/>
      <c r="D65" s="128"/>
      <c r="E65" s="128"/>
      <c r="F65" s="811"/>
    </row>
    <row r="66" spans="1:6" ht="13.5">
      <c r="A66" s="8">
        <f t="shared" si="0"/>
        <v>53</v>
      </c>
      <c r="B66" s="7" t="s">
        <v>1117</v>
      </c>
      <c r="C66" s="1177">
        <f>'JHS-20'!BB64</f>
        <v>20668052.391362812</v>
      </c>
      <c r="D66" s="1177">
        <f>'JHS-20'!BC64</f>
        <v>-433822.4196947054</v>
      </c>
      <c r="E66" s="1177">
        <f>'JHS-20'!BD64</f>
        <v>151836</v>
      </c>
      <c r="F66" s="1099">
        <f t="shared" si="2"/>
        <v>20234229.971668106</v>
      </c>
    </row>
    <row r="67" spans="1:6">
      <c r="A67" s="8">
        <f t="shared" si="0"/>
        <v>54</v>
      </c>
      <c r="B67"/>
      <c r="C67" s="738"/>
      <c r="D67" s="738"/>
      <c r="E67" s="738"/>
    </row>
    <row r="68" spans="1:6">
      <c r="A68" s="8">
        <f t="shared" si="0"/>
        <v>55</v>
      </c>
      <c r="C68" s="738"/>
      <c r="D68" s="738"/>
      <c r="E68" s="351"/>
    </row>
    <row r="69" spans="1:6" ht="13.5">
      <c r="A69" s="8">
        <f t="shared" si="0"/>
        <v>56</v>
      </c>
      <c r="B69" s="9" t="s">
        <v>1250</v>
      </c>
      <c r="C69" s="151"/>
      <c r="D69" s="424">
        <f>'JHS-20'!BC67</f>
        <v>174764195.75214231</v>
      </c>
      <c r="E69" s="425">
        <f>'JHS-20'!BD67</f>
        <v>-3668300.4688374675</v>
      </c>
    </row>
    <row r="70" spans="1:6" ht="13.5">
      <c r="A70" s="8">
        <f t="shared" si="0"/>
        <v>57</v>
      </c>
      <c r="B70" s="9" t="s">
        <v>869</v>
      </c>
      <c r="C70" s="128"/>
      <c r="D70" s="1095"/>
      <c r="E70" s="1095">
        <f>'JHS-20'!BD68</f>
        <v>1398673.3576827715</v>
      </c>
    </row>
    <row r="71" spans="1:6" ht="13.5" thickBot="1">
      <c r="A71" s="8">
        <f t="shared" si="0"/>
        <v>58</v>
      </c>
      <c r="B71" s="9" t="s">
        <v>25</v>
      </c>
      <c r="C71" s="128"/>
      <c r="D71" s="128"/>
      <c r="E71" s="1175">
        <f>'JHS-20'!BD69</f>
        <v>2269627.111154696</v>
      </c>
    </row>
    <row r="72" spans="1:6" ht="13.5" thickTop="1">
      <c r="A72" s="8"/>
      <c r="C72" s="128"/>
      <c r="D72" s="128"/>
      <c r="E72" s="1"/>
      <c r="F72" s="1257" t="s">
        <v>1405</v>
      </c>
    </row>
    <row r="73" spans="1:6">
      <c r="A73" s="16"/>
      <c r="B73" s="16" t="s">
        <v>1411</v>
      </c>
      <c r="C73" s="16"/>
      <c r="D73" s="16"/>
      <c r="E73" s="16"/>
      <c r="F73" s="1257" t="s">
        <v>1413</v>
      </c>
    </row>
    <row r="74" spans="1:6">
      <c r="A74" s="18" t="s">
        <v>1284</v>
      </c>
      <c r="B74" s="17"/>
      <c r="C74" s="17"/>
      <c r="D74" s="17"/>
      <c r="E74" s="17"/>
    </row>
    <row r="75" spans="1:6" ht="13.5" thickBot="1">
      <c r="A75" s="17" t="s">
        <v>142</v>
      </c>
      <c r="B75" s="17"/>
      <c r="C75" s="17"/>
      <c r="D75" s="17"/>
      <c r="E75" s="19"/>
    </row>
    <row r="76" spans="1:6" ht="16.5" thickBot="1">
      <c r="A76" s="17" t="str">
        <f>TESTYEAR</f>
        <v>FOR THE TWELVE MONTHS ENDED DECEMBER 31, 2010</v>
      </c>
      <c r="B76" s="17"/>
      <c r="C76" s="17"/>
      <c r="D76" s="17"/>
      <c r="E76" s="1483" t="s">
        <v>1491</v>
      </c>
      <c r="F76" s="1485"/>
    </row>
    <row r="77" spans="1:6">
      <c r="A77" s="17" t="s">
        <v>57</v>
      </c>
      <c r="B77" s="17"/>
      <c r="C77" s="17"/>
      <c r="D77" s="17"/>
      <c r="E77" s="20"/>
    </row>
    <row r="78" spans="1:6" ht="13.5">
      <c r="A78" s="16"/>
      <c r="C78" s="572" t="s">
        <v>503</v>
      </c>
      <c r="D78" s="572" t="s">
        <v>503</v>
      </c>
      <c r="E78" s="16"/>
    </row>
    <row r="79" spans="1:6">
      <c r="A79" s="25" t="s">
        <v>1153</v>
      </c>
      <c r="B79" s="16"/>
      <c r="C79" s="4" t="s">
        <v>1175</v>
      </c>
      <c r="D79" s="4" t="s">
        <v>1174</v>
      </c>
      <c r="E79" s="4" t="s">
        <v>540</v>
      </c>
    </row>
    <row r="80" spans="1:6">
      <c r="A80" s="11" t="s">
        <v>1179</v>
      </c>
      <c r="B80" s="76" t="s">
        <v>323</v>
      </c>
      <c r="C80" s="11" t="s">
        <v>606</v>
      </c>
      <c r="D80" s="561">
        <f>D12</f>
        <v>2.0990000000000002E-2</v>
      </c>
      <c r="E80" s="70">
        <f>FIT</f>
        <v>0.35</v>
      </c>
    </row>
    <row r="81" spans="1:5">
      <c r="D81" s="123"/>
    </row>
    <row r="82" spans="1:5">
      <c r="A82" s="8">
        <f>A71+1</f>
        <v>59</v>
      </c>
      <c r="B82" s="127" t="s">
        <v>609</v>
      </c>
      <c r="C82" s="128"/>
      <c r="D82" s="128"/>
      <c r="E82" s="128"/>
    </row>
    <row r="83" spans="1:5" ht="13.5">
      <c r="A83" s="8">
        <f t="shared" si="0"/>
        <v>60</v>
      </c>
      <c r="B83" s="9" t="s">
        <v>1125</v>
      </c>
      <c r="C83" s="1121">
        <f>'JHS-20'!BB72</f>
        <v>3307889571.7574425</v>
      </c>
      <c r="D83" s="1099">
        <f>'JHS-20'!BC72</f>
        <v>-69432602</v>
      </c>
      <c r="E83" s="128"/>
    </row>
    <row r="84" spans="1:5" ht="13.5">
      <c r="A84" s="8">
        <f t="shared" si="0"/>
        <v>61</v>
      </c>
      <c r="B84" s="9" t="s">
        <v>1126</v>
      </c>
      <c r="C84" s="1100">
        <f>'JHS-20'!BB73</f>
        <v>-1194219566.3108151</v>
      </c>
      <c r="D84" s="424">
        <f>'JHS-20'!BC73</f>
        <v>25066669</v>
      </c>
    </row>
    <row r="85" spans="1:5">
      <c r="A85" s="8">
        <f t="shared" si="0"/>
        <v>62</v>
      </c>
      <c r="B85" s="9" t="s">
        <v>291</v>
      </c>
      <c r="C85" s="99">
        <f>'JHS-20'!BB74</f>
        <v>77287156</v>
      </c>
      <c r="D85" s="151">
        <f>'JHS-20'!BC74</f>
        <v>-1622257</v>
      </c>
    </row>
    <row r="86" spans="1:5">
      <c r="A86" s="8">
        <f t="shared" si="0"/>
        <v>63</v>
      </c>
      <c r="B86" s="9" t="s">
        <v>1127</v>
      </c>
      <c r="C86" s="99">
        <f>'JHS-20'!BB75</f>
        <v>-4080190</v>
      </c>
      <c r="D86" s="151">
        <f>'JHS-20'!BC75</f>
        <v>85643</v>
      </c>
    </row>
    <row r="87" spans="1:5">
      <c r="A87" s="8">
        <f t="shared" si="0"/>
        <v>64</v>
      </c>
      <c r="B87" s="9" t="s">
        <v>1268</v>
      </c>
      <c r="C87" s="55">
        <f>'JHS-20'!BB76</f>
        <v>4947628</v>
      </c>
      <c r="D87" s="128">
        <f>'JHS-20'!BC76</f>
        <v>-103851</v>
      </c>
      <c r="E87" s="128"/>
    </row>
    <row r="88" spans="1:5">
      <c r="A88" s="8">
        <f t="shared" si="0"/>
        <v>65</v>
      </c>
      <c r="B88" s="9" t="s">
        <v>1269</v>
      </c>
      <c r="C88" s="55">
        <f>'JHS-20'!BB77</f>
        <v>1458712</v>
      </c>
      <c r="D88" s="128">
        <f>'JHS-20'!BC77</f>
        <v>-30618</v>
      </c>
      <c r="E88" s="128"/>
    </row>
    <row r="89" spans="1:5">
      <c r="A89" s="8">
        <f t="shared" si="0"/>
        <v>66</v>
      </c>
      <c r="B89" s="9" t="s">
        <v>964</v>
      </c>
      <c r="C89" s="55">
        <f>'JHS-20'!BB78</f>
        <v>250524822.23208329</v>
      </c>
      <c r="D89" s="151">
        <f>'JHS-20'!BC78</f>
        <v>-5258516</v>
      </c>
      <c r="E89" s="151"/>
    </row>
    <row r="90" spans="1:5">
      <c r="A90" s="8">
        <f>A89+1</f>
        <v>67</v>
      </c>
      <c r="B90" s="9" t="s">
        <v>38</v>
      </c>
      <c r="C90" s="55">
        <f>'JHS-20'!BB79</f>
        <v>-54306612</v>
      </c>
      <c r="D90" s="151">
        <f>'JHS-20'!BC79</f>
        <v>1139896</v>
      </c>
      <c r="E90" s="151"/>
    </row>
    <row r="91" spans="1:5" ht="13.5">
      <c r="A91" s="8">
        <f>A90+1</f>
        <v>68</v>
      </c>
      <c r="B91" s="7" t="s">
        <v>51</v>
      </c>
      <c r="C91" s="1122">
        <f>'JHS-20'!BB80</f>
        <v>2389501521.6787109</v>
      </c>
      <c r="D91" s="1122">
        <f>'JHS-20'!BC80</f>
        <v>-50155636</v>
      </c>
      <c r="E91" s="151"/>
    </row>
    <row r="92" spans="1:5">
      <c r="A92" s="8">
        <f>A91+1</f>
        <v>69</v>
      </c>
      <c r="C92" s="99"/>
      <c r="D92" s="727"/>
      <c r="E92" s="151"/>
    </row>
    <row r="93" spans="1:5" ht="13.5">
      <c r="A93" s="8">
        <f t="shared" ref="A93:A109" si="3">A92+1</f>
        <v>70</v>
      </c>
      <c r="B93" s="9" t="s">
        <v>596</v>
      </c>
      <c r="C93" s="1102">
        <f>'JHS-20'!BB82</f>
        <v>-326649309.44521308</v>
      </c>
      <c r="D93" s="1095">
        <f>'JHS-20'!BC82</f>
        <v>6856369</v>
      </c>
      <c r="E93" s="424"/>
    </row>
    <row r="94" spans="1:5" ht="13.5">
      <c r="A94" s="8">
        <f t="shared" si="3"/>
        <v>71</v>
      </c>
      <c r="B94" s="9" t="s">
        <v>1128</v>
      </c>
      <c r="C94" s="1102">
        <f>'JHS-20'!BB83</f>
        <v>6328940</v>
      </c>
      <c r="D94" s="1095">
        <f>'JHS-20'!BC83</f>
        <v>-132844</v>
      </c>
      <c r="E94" s="424"/>
    </row>
    <row r="95" spans="1:5" ht="13.5">
      <c r="A95" s="8">
        <f>A94+1</f>
        <v>72</v>
      </c>
      <c r="B95" s="9" t="s">
        <v>1171</v>
      </c>
      <c r="C95" s="1117">
        <f>'JHS-20'!BB84</f>
        <v>-320320369.44521308</v>
      </c>
      <c r="D95" s="1117">
        <f>'JHS-20'!BC84</f>
        <v>6723525</v>
      </c>
      <c r="E95" s="424"/>
    </row>
    <row r="96" spans="1:5" ht="13.5">
      <c r="A96" s="8">
        <f t="shared" si="3"/>
        <v>73</v>
      </c>
      <c r="B96" s="9"/>
      <c r="C96" s="1122">
        <f>'JHS-20'!BB85</f>
        <v>0</v>
      </c>
      <c r="D96" s="1117">
        <f>'JHS-20'!BC85</f>
        <v>0</v>
      </c>
      <c r="E96" s="424"/>
    </row>
    <row r="97" spans="1:5" ht="14.25" thickBot="1">
      <c r="A97" s="8">
        <f t="shared" si="3"/>
        <v>74</v>
      </c>
      <c r="B97" s="9" t="s">
        <v>1129</v>
      </c>
      <c r="C97" s="1123">
        <f>'JHS-20'!BB86</f>
        <v>2069181152.2334979</v>
      </c>
      <c r="D97" s="1123">
        <f>'JHS-20'!BC86</f>
        <v>-43432111</v>
      </c>
      <c r="E97" s="1123">
        <f>'JHS-20'!BD86</f>
        <v>2025749041.2334979</v>
      </c>
    </row>
    <row r="98" spans="1:5" ht="13.5" thickTop="1">
      <c r="A98" s="8">
        <f t="shared" si="3"/>
        <v>75</v>
      </c>
      <c r="C98" s="153"/>
      <c r="D98" s="728"/>
      <c r="E98" s="151"/>
    </row>
    <row r="99" spans="1:5">
      <c r="A99" s="8">
        <f t="shared" si="3"/>
        <v>76</v>
      </c>
      <c r="B99" s="127" t="s">
        <v>1270</v>
      </c>
      <c r="C99" s="151"/>
      <c r="D99" s="151"/>
      <c r="E99" s="151"/>
    </row>
    <row r="100" spans="1:5">
      <c r="A100" s="8">
        <f t="shared" si="3"/>
        <v>77</v>
      </c>
      <c r="B100" s="9" t="s">
        <v>825</v>
      </c>
      <c r="C100" s="128">
        <f>'JHS-20'!BB89</f>
        <v>11214773.00999999</v>
      </c>
      <c r="D100" s="128">
        <f>'JHS-20'!BC89</f>
        <v>-235398</v>
      </c>
      <c r="E100" s="128"/>
    </row>
    <row r="101" spans="1:5">
      <c r="A101" s="8">
        <f t="shared" si="3"/>
        <v>78</v>
      </c>
      <c r="B101" s="9" t="s">
        <v>161</v>
      </c>
      <c r="C101" s="128">
        <f>'JHS-20'!BB90</f>
        <v>34565277.373377569</v>
      </c>
      <c r="D101" s="128">
        <f>'JHS-20'!BC90</f>
        <v>-725525</v>
      </c>
      <c r="E101" s="128"/>
    </row>
    <row r="102" spans="1:5">
      <c r="A102" s="8">
        <f t="shared" si="3"/>
        <v>79</v>
      </c>
      <c r="B102" s="9" t="s">
        <v>545</v>
      </c>
      <c r="C102" s="128">
        <f>'JHS-20'!BB91</f>
        <v>24941806.739999998</v>
      </c>
      <c r="D102" s="128">
        <f>'JHS-20'!BC91</f>
        <v>-523529</v>
      </c>
      <c r="E102" s="128"/>
    </row>
    <row r="103" spans="1:5">
      <c r="A103" s="8">
        <f t="shared" si="3"/>
        <v>80</v>
      </c>
      <c r="B103" s="269" t="s">
        <v>1109</v>
      </c>
      <c r="C103" s="128">
        <f>'JHS-20'!BB92</f>
        <v>-29911730</v>
      </c>
      <c r="D103" s="128">
        <f>'JHS-20'!BC92</f>
        <v>627847</v>
      </c>
      <c r="E103" s="128"/>
    </row>
    <row r="104" spans="1:5">
      <c r="A104" s="8">
        <f t="shared" si="3"/>
        <v>81</v>
      </c>
      <c r="B104" s="9" t="s">
        <v>729</v>
      </c>
      <c r="C104" s="128">
        <f>'JHS-20'!BB93</f>
        <v>-10331527.550000008</v>
      </c>
      <c r="D104" s="128">
        <f>'JHS-20'!BC93</f>
        <v>216859</v>
      </c>
      <c r="E104" s="128"/>
    </row>
    <row r="105" spans="1:5">
      <c r="A105" s="8">
        <f t="shared" si="3"/>
        <v>82</v>
      </c>
      <c r="B105" s="269" t="s">
        <v>491</v>
      </c>
      <c r="C105" s="128">
        <f>'JHS-20'!BB94</f>
        <v>-1529461.682666667</v>
      </c>
      <c r="D105" s="128">
        <f>'JHS-20'!BC94</f>
        <v>32103</v>
      </c>
      <c r="E105" s="128"/>
    </row>
    <row r="106" spans="1:5">
      <c r="A106" s="8">
        <f t="shared" si="3"/>
        <v>83</v>
      </c>
      <c r="B106" s="269" t="s">
        <v>490</v>
      </c>
      <c r="C106" s="128">
        <f>'JHS-20'!BB95</f>
        <v>-2096742.2330097083</v>
      </c>
      <c r="D106" s="128">
        <f>'JHS-20'!BC95</f>
        <v>44011</v>
      </c>
      <c r="E106" s="128"/>
    </row>
    <row r="107" spans="1:5">
      <c r="A107" s="8">
        <f t="shared" si="3"/>
        <v>84</v>
      </c>
      <c r="B107" s="7" t="s">
        <v>288</v>
      </c>
      <c r="C107" s="128">
        <f>'JHS-20'!BB96</f>
        <v>23180900.644329056</v>
      </c>
      <c r="D107" s="128">
        <f>'JHS-20'!BC96</f>
        <v>-486567</v>
      </c>
      <c r="E107" s="128"/>
    </row>
    <row r="108" spans="1:5">
      <c r="A108" s="8">
        <f t="shared" si="3"/>
        <v>85</v>
      </c>
      <c r="B108" s="269" t="s">
        <v>1112</v>
      </c>
      <c r="C108" s="128">
        <f>'JHS-20'!BB97</f>
        <v>3583333.3333333335</v>
      </c>
      <c r="D108" s="128">
        <f>'JHS-20'!BC97</f>
        <v>-75214</v>
      </c>
      <c r="E108" s="128"/>
    </row>
    <row r="109" spans="1:5">
      <c r="A109" s="8">
        <f t="shared" si="3"/>
        <v>86</v>
      </c>
      <c r="B109" s="269" t="s">
        <v>1130</v>
      </c>
      <c r="C109" s="128">
        <f>'JHS-20'!BB98</f>
        <v>1193197.5</v>
      </c>
      <c r="D109" s="128">
        <f>'JHS-20'!BC98</f>
        <v>-25045</v>
      </c>
      <c r="E109" s="128"/>
    </row>
    <row r="110" spans="1:5" ht="13.5">
      <c r="A110" s="8">
        <f>A107+1</f>
        <v>85</v>
      </c>
      <c r="B110" s="269" t="s">
        <v>708</v>
      </c>
      <c r="C110" s="1095">
        <f>'JHS-20'!BB99</f>
        <v>99746463.456615046</v>
      </c>
      <c r="D110" s="1095">
        <f>'JHS-20'!BC99</f>
        <v>-2093678</v>
      </c>
      <c r="E110" s="128"/>
    </row>
    <row r="111" spans="1:5" s="1174" customFormat="1" ht="13.5">
      <c r="A111" s="8">
        <f t="shared" ref="A111:A118" si="4">A108+1</f>
        <v>86</v>
      </c>
      <c r="B111" s="269" t="s">
        <v>1383</v>
      </c>
      <c r="C111" s="1095">
        <f>'JHS-20'!BB100</f>
        <v>10324092.422502052</v>
      </c>
      <c r="D111" s="1095">
        <f>'JHS-20'!BC100</f>
        <v>-216703</v>
      </c>
      <c r="E111" s="128"/>
    </row>
    <row r="112" spans="1:5" ht="13.5">
      <c r="A112" s="8">
        <f t="shared" si="4"/>
        <v>87</v>
      </c>
      <c r="B112" s="269" t="s">
        <v>728</v>
      </c>
      <c r="C112" s="1095">
        <f>'JHS-20'!BB101</f>
        <v>11099629.760439247</v>
      </c>
      <c r="D112" s="1095">
        <f>'JHS-20'!BC101</f>
        <v>-232981</v>
      </c>
      <c r="E112" s="128"/>
    </row>
    <row r="113" spans="1:5">
      <c r="A113" s="8">
        <f t="shared" si="4"/>
        <v>86</v>
      </c>
      <c r="B113" s="269" t="s">
        <v>726</v>
      </c>
      <c r="C113" s="128">
        <f>'JHS-20'!BB102</f>
        <v>117130302.1673249</v>
      </c>
      <c r="D113" s="128">
        <f>'JHS-20'!BC102</f>
        <v>-2458565</v>
      </c>
      <c r="E113" s="128"/>
    </row>
    <row r="114" spans="1:5">
      <c r="A114" s="8">
        <f t="shared" si="4"/>
        <v>87</v>
      </c>
      <c r="B114" s="269" t="s">
        <v>727</v>
      </c>
      <c r="C114" s="371">
        <f>'JHS-20'!BB103</f>
        <v>18500000</v>
      </c>
      <c r="D114" s="128">
        <f>'JHS-20'!BC103</f>
        <v>-388315</v>
      </c>
      <c r="E114" s="128"/>
    </row>
    <row r="115" spans="1:5">
      <c r="A115" s="8">
        <f t="shared" si="4"/>
        <v>88</v>
      </c>
      <c r="B115" s="269" t="s">
        <v>1131</v>
      </c>
      <c r="C115" s="371">
        <f>'JHS-20'!BB104</f>
        <v>31788.419916433093</v>
      </c>
      <c r="D115" s="128">
        <f>'JHS-20'!BC104</f>
        <v>-667</v>
      </c>
      <c r="E115" s="128"/>
    </row>
    <row r="116" spans="1:5" ht="13.5">
      <c r="A116" s="8">
        <f t="shared" si="4"/>
        <v>87</v>
      </c>
      <c r="B116" s="7" t="s">
        <v>1132</v>
      </c>
      <c r="C116" s="1178">
        <f>'JHS-20'!BB105</f>
        <v>311642103.36216122</v>
      </c>
      <c r="D116" s="1178">
        <f>'JHS-20'!BC105</f>
        <v>-6541367</v>
      </c>
      <c r="E116" s="1178">
        <f>'JHS-20'!BD105</f>
        <v>305100736.36216122</v>
      </c>
    </row>
    <row r="117" spans="1:5" ht="13.5">
      <c r="A117" s="8">
        <f t="shared" si="4"/>
        <v>88</v>
      </c>
      <c r="C117" s="424"/>
      <c r="D117" s="1179"/>
      <c r="E117" s="424"/>
    </row>
    <row r="118" spans="1:5" ht="14.25" thickBot="1">
      <c r="A118" s="8">
        <f t="shared" si="4"/>
        <v>89</v>
      </c>
      <c r="B118" s="7" t="s">
        <v>1133</v>
      </c>
      <c r="C118" s="1180"/>
      <c r="D118" s="1123">
        <f>'JHS-20'!BC107</f>
        <v>-49973478</v>
      </c>
      <c r="E118" s="1180"/>
    </row>
    <row r="119" spans="1:5" ht="14.25" thickTop="1">
      <c r="D119" s="569"/>
      <c r="E119" s="569"/>
    </row>
    <row r="120" spans="1:5" ht="13.5">
      <c r="B120" s="302"/>
      <c r="D120" s="569"/>
      <c r="E120" s="569"/>
    </row>
    <row r="121" spans="1:5" ht="13.5">
      <c r="D121" s="569"/>
      <c r="E121" s="569"/>
    </row>
    <row r="122" spans="1:5" ht="13.5">
      <c r="D122" s="569"/>
      <c r="E122" s="569"/>
    </row>
    <row r="123" spans="1:5" ht="13.5">
      <c r="D123" s="569"/>
      <c r="E123" s="569"/>
    </row>
    <row r="124" spans="1:5" ht="13.5">
      <c r="D124" s="569"/>
      <c r="E124" s="569"/>
    </row>
    <row r="125" spans="1:5" ht="13.5">
      <c r="D125" s="569"/>
      <c r="E125" s="569"/>
    </row>
    <row r="126" spans="1:5" ht="13.5">
      <c r="D126" s="569"/>
      <c r="E126" s="569"/>
    </row>
    <row r="127" spans="1:5" ht="13.5">
      <c r="D127" s="569"/>
      <c r="E127" s="569"/>
    </row>
    <row r="128" spans="1:5" ht="13.5">
      <c r="D128" s="569"/>
      <c r="E128" s="569"/>
    </row>
    <row r="129" spans="4:5" ht="13.5">
      <c r="D129" s="569"/>
      <c r="E129" s="569"/>
    </row>
    <row r="130" spans="4:5" ht="13.5">
      <c r="D130" s="569"/>
      <c r="E130" s="569"/>
    </row>
    <row r="131" spans="4:5" ht="13.5">
      <c r="D131" s="569"/>
      <c r="E131" s="569"/>
    </row>
    <row r="132" spans="4:5" ht="13.5">
      <c r="D132" s="569"/>
      <c r="E132" s="569"/>
    </row>
    <row r="133" spans="4:5" ht="13.5">
      <c r="D133" s="569"/>
      <c r="E133" s="569"/>
    </row>
    <row r="134" spans="4:5" ht="13.5">
      <c r="D134" s="569"/>
      <c r="E134" s="569"/>
    </row>
    <row r="135" spans="4:5" ht="13.5">
      <c r="D135" s="569"/>
      <c r="E135" s="569"/>
    </row>
  </sheetData>
  <mergeCells count="2">
    <mergeCell ref="C2:D2"/>
    <mergeCell ref="E76:F76"/>
  </mergeCells>
  <phoneticPr fontId="17" type="noConversion"/>
  <printOptions horizontalCentered="1"/>
  <pageMargins left="0.75" right="0.5" top="0.78" bottom="0.62" header="0.25" footer="0.18"/>
  <pageSetup scale="66" orientation="portrait" r:id="rId1"/>
  <headerFooter alignWithMargins="0">
    <oddFooter>&amp;L&amp;"Helv,Bold"Amounts presented in bold italic type have changed since the September 1, 2011 supplemental filing.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1"/>
  <sheetViews>
    <sheetView workbookViewId="0">
      <selection activeCell="C3" sqref="C3:D3"/>
    </sheetView>
  </sheetViews>
  <sheetFormatPr defaultRowHeight="12.75"/>
  <cols>
    <col min="1" max="1" width="5.83203125" style="7" customWidth="1"/>
    <col min="2" max="2" width="74.1640625" style="7" customWidth="1"/>
    <col min="3" max="5" width="19.83203125" style="7" customWidth="1"/>
    <col min="6" max="16384" width="9.33203125" style="118"/>
  </cols>
  <sheetData>
    <row r="1" spans="1:5">
      <c r="A1" s="16"/>
      <c r="D1" s="1"/>
      <c r="E1" s="1" t="str">
        <f>'JHS-20'!E2</f>
        <v>Docket Number UE-111048</v>
      </c>
    </row>
    <row r="2" spans="1:5" ht="13.5" thickBot="1">
      <c r="A2" s="107"/>
      <c r="E2" s="744" t="str">
        <f>'JHS-25 Ex A-1'!J2</f>
        <v>PCA Exhibits</v>
      </c>
    </row>
    <row r="3" spans="1:5" ht="16.5" thickBot="1">
      <c r="A3" s="107"/>
      <c r="B3" s="16" t="s">
        <v>143</v>
      </c>
      <c r="C3" s="1483" t="s">
        <v>1491</v>
      </c>
      <c r="D3" s="1485"/>
      <c r="E3" s="1" t="s">
        <v>667</v>
      </c>
    </row>
    <row r="4" spans="1:5">
      <c r="A4" s="16"/>
      <c r="B4" s="114"/>
      <c r="C4" s="80"/>
      <c r="D4" s="80"/>
    </row>
    <row r="5" spans="1:5">
      <c r="A5" s="16"/>
      <c r="B5" s="16"/>
      <c r="C5" s="16"/>
      <c r="D5" s="16"/>
      <c r="E5" s="16"/>
    </row>
    <row r="6" spans="1:5">
      <c r="A6" s="18" t="s">
        <v>1284</v>
      </c>
      <c r="B6" s="17"/>
      <c r="C6" s="17"/>
      <c r="D6" s="18"/>
      <c r="E6" s="17"/>
    </row>
    <row r="7" spans="1:5">
      <c r="A7" s="18" t="s">
        <v>144</v>
      </c>
      <c r="B7" s="17"/>
      <c r="C7" s="18"/>
      <c r="D7" s="17"/>
      <c r="E7" s="17"/>
    </row>
    <row r="8" spans="1:5">
      <c r="A8" s="17" t="str">
        <f>TESTYEAR</f>
        <v>FOR THE TWELVE MONTHS ENDED DECEMBER 31, 2010</v>
      </c>
      <c r="B8" s="17"/>
      <c r="C8" s="18"/>
      <c r="D8" s="17"/>
      <c r="E8" s="17"/>
    </row>
    <row r="9" spans="1:5">
      <c r="A9" s="18" t="s">
        <v>57</v>
      </c>
      <c r="B9" s="17"/>
      <c r="C9" s="18"/>
      <c r="D9" s="18"/>
      <c r="E9" s="18"/>
    </row>
    <row r="10" spans="1:5">
      <c r="A10" s="16"/>
      <c r="B10" s="16"/>
      <c r="C10" s="16"/>
      <c r="D10" s="1201" t="s">
        <v>503</v>
      </c>
      <c r="E10" s="1201" t="s">
        <v>503</v>
      </c>
    </row>
    <row r="11" spans="1:5">
      <c r="A11" s="4" t="s">
        <v>1153</v>
      </c>
      <c r="B11" s="115"/>
      <c r="C11" s="268"/>
      <c r="D11" s="25"/>
      <c r="E11" s="25" t="s">
        <v>1154</v>
      </c>
    </row>
    <row r="12" spans="1:5">
      <c r="A12" s="11" t="s">
        <v>1179</v>
      </c>
      <c r="B12" s="76" t="s">
        <v>323</v>
      </c>
      <c r="C12" s="21" t="s">
        <v>1178</v>
      </c>
      <c r="D12" s="21" t="s">
        <v>1175</v>
      </c>
      <c r="E12" s="21" t="s">
        <v>325</v>
      </c>
    </row>
    <row r="13" spans="1:5">
      <c r="A13" s="13"/>
      <c r="B13" s="90"/>
      <c r="C13" s="90"/>
      <c r="D13" s="90"/>
      <c r="E13" s="90"/>
    </row>
    <row r="14" spans="1:5" ht="13.5">
      <c r="A14" s="8">
        <v>1</v>
      </c>
      <c r="B14" s="7" t="s">
        <v>33</v>
      </c>
      <c r="C14" s="134">
        <f>'JHS-20'!C13</f>
        <v>201262557</v>
      </c>
      <c r="D14" s="425">
        <f>'JHS-20'!D13</f>
        <v>40163723.356444776</v>
      </c>
      <c r="E14" s="425">
        <f>D14-C14</f>
        <v>-161098833.64355522</v>
      </c>
    </row>
    <row r="15" spans="1:5">
      <c r="A15" s="8">
        <f t="shared" ref="A15:A41" si="0">A14+1</f>
        <v>2</v>
      </c>
      <c r="C15" s="146"/>
      <c r="D15" s="146"/>
      <c r="E15" s="146"/>
    </row>
    <row r="16" spans="1:5">
      <c r="A16" s="8">
        <f t="shared" si="0"/>
        <v>3</v>
      </c>
      <c r="B16" s="7" t="s">
        <v>541</v>
      </c>
      <c r="C16" s="99">
        <f>'JHS-20'!C15</f>
        <v>-36748461.420000002</v>
      </c>
      <c r="D16" s="99">
        <f>'JHS-20'!D15</f>
        <v>0</v>
      </c>
      <c r="E16" s="99">
        <f>D16-C16</f>
        <v>36748461.420000002</v>
      </c>
    </row>
    <row r="17" spans="1:5">
      <c r="A17" s="8">
        <f t="shared" si="0"/>
        <v>4</v>
      </c>
      <c r="B17" s="7" t="s">
        <v>542</v>
      </c>
      <c r="C17" s="5">
        <f>'JHS-20'!C16</f>
        <v>10703022.630000001</v>
      </c>
      <c r="D17" s="5">
        <f>'JHS-20'!D16</f>
        <v>13723962.537659865</v>
      </c>
      <c r="E17" s="5">
        <f>D17-C17</f>
        <v>3020939.9076598641</v>
      </c>
    </row>
    <row r="18" spans="1:5">
      <c r="A18" s="8">
        <f t="shared" si="0"/>
        <v>5</v>
      </c>
      <c r="C18" s="99">
        <f>SUM(C16:C17)</f>
        <v>-26045438.789999999</v>
      </c>
      <c r="D18" s="99">
        <f>SUM(D16:D17)</f>
        <v>13723962.537659865</v>
      </c>
      <c r="E18" s="99">
        <f>SUM(E16:E17)</f>
        <v>39769401.327659868</v>
      </c>
    </row>
    <row r="19" spans="1:5">
      <c r="A19" s="8">
        <f t="shared" si="0"/>
        <v>6</v>
      </c>
      <c r="C19" s="146"/>
      <c r="D19" s="146"/>
      <c r="E19" s="146"/>
    </row>
    <row r="20" spans="1:5" ht="13.5">
      <c r="A20" s="8">
        <f t="shared" si="0"/>
        <v>7</v>
      </c>
      <c r="B20" s="9" t="s">
        <v>1073</v>
      </c>
      <c r="C20" s="128">
        <f>SUM(C14:C17)</f>
        <v>175217118.20999998</v>
      </c>
      <c r="D20" s="1095">
        <f>SUM(D14:D17)</f>
        <v>53887685.894104645</v>
      </c>
      <c r="E20" s="1095">
        <f>SUM(E14:E17)</f>
        <v>-121329432.31589536</v>
      </c>
    </row>
    <row r="21" spans="1:5">
      <c r="A21" s="8">
        <f t="shared" si="0"/>
        <v>8</v>
      </c>
      <c r="C21" s="157"/>
      <c r="D21" s="157"/>
      <c r="E21" s="157"/>
    </row>
    <row r="22" spans="1:5" ht="13.5">
      <c r="A22" s="8">
        <f t="shared" si="0"/>
        <v>9</v>
      </c>
      <c r="B22" s="12" t="s">
        <v>357</v>
      </c>
      <c r="C22" s="136">
        <f>'JHS-20'!C21</f>
        <v>269007822.12463862</v>
      </c>
      <c r="D22" s="1096">
        <f>'JHS-20'!D21</f>
        <v>268428833.16803157</v>
      </c>
      <c r="E22" s="1096">
        <f>D22-C22</f>
        <v>-578988.95660704374</v>
      </c>
    </row>
    <row r="23" spans="1:5" ht="13.5">
      <c r="A23" s="8">
        <f t="shared" si="0"/>
        <v>10</v>
      </c>
      <c r="B23" s="12"/>
      <c r="C23" s="255"/>
      <c r="D23" s="1202"/>
      <c r="E23" s="1202"/>
    </row>
    <row r="24" spans="1:5" ht="13.5">
      <c r="A24" s="8">
        <f t="shared" si="0"/>
        <v>11</v>
      </c>
      <c r="B24" s="12" t="s">
        <v>866</v>
      </c>
      <c r="C24" s="99">
        <f>'JHS-20'!C23</f>
        <v>792862060.07333338</v>
      </c>
      <c r="D24" s="1097">
        <f>'JHS-20'!D23</f>
        <v>462397894.34288442</v>
      </c>
      <c r="E24" s="1098">
        <f>D24-C24</f>
        <v>-330464165.73044896</v>
      </c>
    </row>
    <row r="25" spans="1:5">
      <c r="A25" s="8">
        <f t="shared" si="0"/>
        <v>12</v>
      </c>
      <c r="B25" s="12" t="s">
        <v>886</v>
      </c>
      <c r="C25" s="99">
        <f>'JHS-20'!C24</f>
        <v>0</v>
      </c>
      <c r="D25" s="54">
        <f>'JHS-20'!D24</f>
        <v>1420907.408017</v>
      </c>
      <c r="E25" s="440">
        <f>D25-C25</f>
        <v>1420907.408017</v>
      </c>
    </row>
    <row r="26" spans="1:5">
      <c r="A26" s="8">
        <f t="shared" si="0"/>
        <v>13</v>
      </c>
      <c r="B26" s="12"/>
      <c r="C26" s="5"/>
      <c r="D26" s="1203"/>
      <c r="E26" s="5"/>
    </row>
    <row r="27" spans="1:5" ht="13.5">
      <c r="A27" s="8">
        <f t="shared" si="0"/>
        <v>14</v>
      </c>
      <c r="B27" s="12" t="s">
        <v>1286</v>
      </c>
      <c r="C27" s="129">
        <f>SUM(C24:C26)</f>
        <v>792862060.07333338</v>
      </c>
      <c r="D27" s="1099">
        <f>SUM(D24:D26)</f>
        <v>463818801.7509014</v>
      </c>
      <c r="E27" s="1099">
        <f>SUM(E24:E26)</f>
        <v>-329043258.32243198</v>
      </c>
    </row>
    <row r="28" spans="1:5" ht="13.5">
      <c r="A28" s="8">
        <f t="shared" si="0"/>
        <v>15</v>
      </c>
      <c r="B28" s="12" t="s">
        <v>368</v>
      </c>
      <c r="C28" s="99">
        <f>'JHS-20'!C27</f>
        <v>76487810.829999909</v>
      </c>
      <c r="D28" s="1100">
        <f>'JHS-20'!D27</f>
        <v>83238876.236189857</v>
      </c>
      <c r="E28" s="1100">
        <f>D28-C28</f>
        <v>6751065.4061899483</v>
      </c>
    </row>
    <row r="29" spans="1:5" ht="13.5">
      <c r="A29" s="8">
        <f t="shared" si="0"/>
        <v>16</v>
      </c>
      <c r="B29" s="12"/>
      <c r="C29" s="99"/>
      <c r="D29" s="1100"/>
      <c r="E29" s="1102"/>
    </row>
    <row r="30" spans="1:5" ht="13.5">
      <c r="A30" s="8">
        <f t="shared" si="0"/>
        <v>17</v>
      </c>
      <c r="B30" s="7" t="s">
        <v>1079</v>
      </c>
      <c r="C30" s="148">
        <f>C22+C27+C28</f>
        <v>1138357693.027972</v>
      </c>
      <c r="D30" s="1101">
        <f>D22+D27+D28</f>
        <v>815486511.15512276</v>
      </c>
      <c r="E30" s="1101">
        <f>E22+E27+E28</f>
        <v>-322871181.87284911</v>
      </c>
    </row>
    <row r="31" spans="1:5" ht="13.5">
      <c r="A31" s="8">
        <f t="shared" si="0"/>
        <v>18</v>
      </c>
      <c r="B31" s="112" t="s">
        <v>605</v>
      </c>
      <c r="C31" s="55">
        <f>'JHS-20'!C30</f>
        <v>101194084.30131838</v>
      </c>
      <c r="D31" s="1102">
        <f>'JHS-20'!D30</f>
        <v>113291294.6302499</v>
      </c>
      <c r="E31" s="1102">
        <f>D31-C31</f>
        <v>12097210.328931525</v>
      </c>
    </row>
    <row r="32" spans="1:5">
      <c r="A32" s="8">
        <f t="shared" si="0"/>
        <v>19</v>
      </c>
      <c r="B32" s="12" t="s">
        <v>22</v>
      </c>
      <c r="C32" s="5">
        <f>'JHS-20'!C31</f>
        <v>1419634.77</v>
      </c>
      <c r="D32" s="5">
        <f>'JHS-20'!D31</f>
        <v>1389836.8613500001</v>
      </c>
      <c r="E32" s="5">
        <f>D32-C32</f>
        <v>-29797.908649999881</v>
      </c>
    </row>
    <row r="33" spans="1:5">
      <c r="A33" s="8">
        <f t="shared" si="0"/>
        <v>20</v>
      </c>
      <c r="E33" s="165"/>
    </row>
    <row r="34" spans="1:5" ht="13.5">
      <c r="A34" s="8">
        <f t="shared" si="0"/>
        <v>21</v>
      </c>
      <c r="B34" s="9" t="s">
        <v>944</v>
      </c>
      <c r="C34" s="129">
        <f>SUM(C30:C32)</f>
        <v>1240971412.0992904</v>
      </c>
      <c r="D34" s="1099">
        <f>SUM(D30:D32)</f>
        <v>930167642.64672267</v>
      </c>
      <c r="E34" s="1099">
        <f>SUM(E30:E32)</f>
        <v>-310803769.45256758</v>
      </c>
    </row>
    <row r="35" spans="1:5" ht="13.5">
      <c r="A35" s="8">
        <f t="shared" si="0"/>
        <v>22</v>
      </c>
      <c r="C35" s="157"/>
      <c r="D35" s="1104"/>
      <c r="E35" s="1104"/>
    </row>
    <row r="36" spans="1:5" ht="13.5">
      <c r="A36" s="8">
        <f t="shared" si="0"/>
        <v>23</v>
      </c>
      <c r="B36" s="12" t="str">
        <f>"INCREASE (DECREASE) OPERATING INCOME (LINE "&amp;A20&amp;" - LINE "&amp;A34&amp;")"</f>
        <v>INCREASE (DECREASE) OPERATING INCOME (LINE 7 - LINE 21)</v>
      </c>
      <c r="C36" s="134">
        <f>C20-C34</f>
        <v>-1065754293.8892903</v>
      </c>
      <c r="D36" s="425">
        <f>D20-D34</f>
        <v>-876279956.75261807</v>
      </c>
      <c r="E36" s="425">
        <f>E20-E34</f>
        <v>189474337.1366722</v>
      </c>
    </row>
    <row r="37" spans="1:5" ht="13.5">
      <c r="A37" s="8">
        <f t="shared" si="0"/>
        <v>24</v>
      </c>
      <c r="C37" s="128"/>
      <c r="D37" s="1095"/>
      <c r="E37" s="569"/>
    </row>
    <row r="38" spans="1:5" ht="13.5">
      <c r="A38" s="8">
        <f t="shared" si="0"/>
        <v>25</v>
      </c>
      <c r="B38" s="7" t="str">
        <f>"STATE UTILITY TAX SAVINGS FOR LINE "&amp;A17</f>
        <v>STATE UTILITY TAX SAVINGS FOR LINE 4</v>
      </c>
      <c r="C38" s="123">
        <f>'JHS-20'!C37</f>
        <v>3.8730000000000001E-2</v>
      </c>
      <c r="D38" s="569"/>
      <c r="E38" s="160">
        <f>-E17*C38</f>
        <v>-117001.00262366654</v>
      </c>
    </row>
    <row r="39" spans="1:5" ht="13.5">
      <c r="A39" s="8">
        <f t="shared" si="0"/>
        <v>26</v>
      </c>
      <c r="B39" s="9" t="s">
        <v>27</v>
      </c>
      <c r="C39" s="110"/>
      <c r="D39" s="1187"/>
      <c r="E39" s="1204">
        <f>E36+E38</f>
        <v>189357336.13404852</v>
      </c>
    </row>
    <row r="40" spans="1:5" ht="13.5">
      <c r="A40" s="8">
        <f t="shared" si="0"/>
        <v>27</v>
      </c>
      <c r="B40" s="9" t="s">
        <v>23</v>
      </c>
      <c r="C40" s="155">
        <f>FIT</f>
        <v>0.35</v>
      </c>
      <c r="D40" s="1205"/>
      <c r="E40" s="1100">
        <f>E39*FIT</f>
        <v>66275067.646916978</v>
      </c>
    </row>
    <row r="41" spans="1:5" ht="14.25" thickBot="1">
      <c r="A41" s="8">
        <f t="shared" si="0"/>
        <v>28</v>
      </c>
      <c r="B41" s="9" t="s">
        <v>369</v>
      </c>
      <c r="C41" s="110" t="s">
        <v>939</v>
      </c>
      <c r="D41" s="1206"/>
      <c r="E41" s="1207">
        <f>+E39-E40</f>
        <v>123082268.48713154</v>
      </c>
    </row>
    <row r="42" spans="1:5" ht="13.5" thickTop="1">
      <c r="A42" s="8"/>
    </row>
    <row r="43" spans="1:5">
      <c r="A43" s="8"/>
    </row>
    <row r="45" spans="1:5" ht="13.5">
      <c r="A45" s="302"/>
    </row>
    <row r="47" spans="1:5">
      <c r="A47" s="34"/>
    </row>
    <row r="48" spans="1:5">
      <c r="A48" s="34"/>
    </row>
    <row r="49" spans="1:5">
      <c r="A49" s="34"/>
      <c r="B49" s="164"/>
    </row>
    <row r="50" spans="1:5">
      <c r="A50" s="34"/>
    </row>
    <row r="54" spans="1:5">
      <c r="A54" s="91" t="s">
        <v>939</v>
      </c>
    </row>
    <row r="55" spans="1:5">
      <c r="A55" s="91" t="s">
        <v>939</v>
      </c>
    </row>
    <row r="56" spans="1:5">
      <c r="A56" s="91" t="s">
        <v>939</v>
      </c>
    </row>
    <row r="61" spans="1:5">
      <c r="E61" s="36"/>
    </row>
  </sheetData>
  <mergeCells count="1">
    <mergeCell ref="C3:D3"/>
  </mergeCells>
  <phoneticPr fontId="17" type="noConversion"/>
  <printOptions horizontalCentered="1"/>
  <pageMargins left="0.5" right="0.5" top="0.28000000000000003" bottom="0.37" header="0.25" footer="0.18"/>
  <pageSetup scale="86" orientation="portrait" r:id="rId1"/>
  <headerFooter alignWithMargins="0">
    <oddFooter>&amp;L&amp;"Times New Roman,Bold Italic"&amp;10Amounts presented in bold italic type have changed since the September 1, 2011 supplemental filing.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zoomScale="87" zoomScaleNormal="87" workbookViewId="0">
      <selection activeCell="J4" sqref="J4:K4"/>
    </sheetView>
  </sheetViews>
  <sheetFormatPr defaultColWidth="10.33203125" defaultRowHeight="12.75"/>
  <cols>
    <col min="1" max="1" width="9.33203125" style="1390" bestFit="1" customWidth="1"/>
    <col min="2" max="2" width="45" style="1390" customWidth="1"/>
    <col min="3" max="3" width="10" style="1390" bestFit="1" customWidth="1"/>
    <col min="4" max="5" width="17.1640625" style="1390" bestFit="1" customWidth="1"/>
    <col min="6" max="6" width="15.5" style="1390" bestFit="1" customWidth="1"/>
    <col min="7" max="7" width="18.6640625" style="1390" bestFit="1" customWidth="1"/>
    <col min="8" max="8" width="9.1640625" style="1390" bestFit="1" customWidth="1"/>
    <col min="9" max="9" width="14" style="1390" bestFit="1" customWidth="1"/>
    <col min="10" max="10" width="17.1640625" style="1390" bestFit="1" customWidth="1"/>
    <col min="11" max="11" width="18.6640625" style="1390" bestFit="1" customWidth="1"/>
    <col min="12" max="14" width="10.33203125" style="1390"/>
    <col min="15" max="15" width="10.6640625" style="1390" customWidth="1"/>
    <col min="16" max="16" width="14.6640625" style="1390" bestFit="1" customWidth="1"/>
    <col min="17" max="17" width="15.5" style="1390" bestFit="1" customWidth="1"/>
    <col min="18" max="16384" width="10.33203125" style="1390"/>
  </cols>
  <sheetData>
    <row r="1" spans="1:14">
      <c r="A1" s="1489" t="s">
        <v>840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</row>
    <row r="2" spans="1:14">
      <c r="A2" s="1490" t="s">
        <v>1428</v>
      </c>
      <c r="B2" s="1489" t="s">
        <v>1429</v>
      </c>
      <c r="C2" s="1489"/>
      <c r="D2" s="1489"/>
      <c r="E2" s="1489"/>
      <c r="F2" s="1489"/>
      <c r="G2" s="1489"/>
      <c r="H2" s="1489"/>
      <c r="I2" s="1489"/>
      <c r="J2" s="1489"/>
      <c r="K2" s="1489"/>
    </row>
    <row r="3" spans="1:14" ht="13.5" thickBot="1">
      <c r="A3" s="1489" t="s">
        <v>1430</v>
      </c>
      <c r="B3" s="1489" t="s">
        <v>1430</v>
      </c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4" ht="16.5" thickBot="1">
      <c r="B4" s="1391"/>
      <c r="C4" s="1391"/>
      <c r="D4" s="1391"/>
      <c r="E4" s="1391"/>
      <c r="F4" s="1391"/>
      <c r="G4" s="1391"/>
      <c r="H4" s="1391"/>
      <c r="I4" s="1391"/>
      <c r="J4" s="1483" t="s">
        <v>1491</v>
      </c>
      <c r="K4" s="1485"/>
    </row>
    <row r="5" spans="1:14" s="1394" customFormat="1" ht="51">
      <c r="A5" s="1392" t="s">
        <v>1431</v>
      </c>
      <c r="B5" s="1392" t="s">
        <v>1432</v>
      </c>
      <c r="C5" s="1392" t="s">
        <v>1433</v>
      </c>
      <c r="D5" s="1392" t="s">
        <v>1434</v>
      </c>
      <c r="E5" s="1393" t="s">
        <v>1435</v>
      </c>
      <c r="F5" s="1393" t="s">
        <v>1473</v>
      </c>
      <c r="G5" s="1393" t="s">
        <v>1436</v>
      </c>
      <c r="H5" s="1393" t="s">
        <v>1437</v>
      </c>
      <c r="I5" s="1393" t="s">
        <v>1438</v>
      </c>
      <c r="J5" s="1393" t="s">
        <v>1439</v>
      </c>
      <c r="K5" s="1393" t="s">
        <v>1440</v>
      </c>
      <c r="M5" s="1390"/>
      <c r="N5" s="1390"/>
    </row>
    <row r="6" spans="1:14" s="1395" customFormat="1">
      <c r="B6" s="1396"/>
      <c r="C6" s="1397"/>
      <c r="D6" s="1397" t="s">
        <v>1266</v>
      </c>
      <c r="E6" s="1397" t="s">
        <v>1267</v>
      </c>
      <c r="F6" s="1395" t="s">
        <v>426</v>
      </c>
      <c r="G6" s="1397" t="s">
        <v>1441</v>
      </c>
      <c r="H6" s="1395" t="s">
        <v>1442</v>
      </c>
      <c r="I6" s="1395" t="s">
        <v>1443</v>
      </c>
      <c r="J6" s="1398" t="s">
        <v>1444</v>
      </c>
      <c r="K6" s="1398" t="s">
        <v>1445</v>
      </c>
      <c r="M6" s="1390"/>
      <c r="N6" s="1390"/>
    </row>
    <row r="7" spans="1:14" s="1395" customFormat="1">
      <c r="B7" s="1396"/>
      <c r="C7" s="1397"/>
      <c r="D7" s="1397"/>
      <c r="E7" s="1397"/>
      <c r="G7" s="1397"/>
      <c r="M7" s="1390"/>
      <c r="N7" s="1390"/>
    </row>
    <row r="8" spans="1:14">
      <c r="A8" s="1394">
        <v>1</v>
      </c>
      <c r="B8" s="1399" t="s">
        <v>1446</v>
      </c>
      <c r="C8" s="1400">
        <v>7</v>
      </c>
      <c r="D8" s="1401">
        <v>10732747750.487839</v>
      </c>
      <c r="E8" s="1402">
        <v>1083315595.6361177</v>
      </c>
      <c r="G8" s="1403">
        <v>0.56302455140298446</v>
      </c>
      <c r="H8" s="1404">
        <v>1</v>
      </c>
      <c r="I8" s="1405">
        <v>3.323174364182354E-2</v>
      </c>
      <c r="J8" s="1402">
        <v>36000466.157368839</v>
      </c>
      <c r="K8" s="1402">
        <v>1119316061.7934866</v>
      </c>
    </row>
    <row r="9" spans="1:14">
      <c r="A9" s="1394">
        <v>2</v>
      </c>
      <c r="C9" s="1400"/>
      <c r="D9" s="1406"/>
      <c r="E9" s="1407"/>
      <c r="G9" s="1408"/>
      <c r="J9" s="1407"/>
      <c r="K9" s="1407"/>
    </row>
    <row r="10" spans="1:14">
      <c r="A10" s="1394">
        <v>3</v>
      </c>
      <c r="B10" s="1390" t="s">
        <v>1447</v>
      </c>
      <c r="C10" s="1400"/>
      <c r="D10" s="1406"/>
      <c r="E10" s="1407"/>
      <c r="G10" s="1408"/>
      <c r="J10" s="1407"/>
      <c r="K10" s="1407"/>
    </row>
    <row r="11" spans="1:14">
      <c r="A11" s="1394">
        <v>4</v>
      </c>
      <c r="B11" s="1409" t="s">
        <v>1448</v>
      </c>
      <c r="C11" s="1400">
        <v>24</v>
      </c>
      <c r="D11" s="1410">
        <v>2594865425.6283207</v>
      </c>
      <c r="E11" s="1407">
        <v>245723262.34999925</v>
      </c>
      <c r="G11" s="1403">
        <v>0.12770814904833783</v>
      </c>
      <c r="H11" s="1404">
        <v>1</v>
      </c>
      <c r="I11" s="1405">
        <v>3.323174364182354E-2</v>
      </c>
      <c r="J11" s="1407">
        <v>8165812.4612477254</v>
      </c>
      <c r="K11" s="1407">
        <v>253889074.81124696</v>
      </c>
    </row>
    <row r="12" spans="1:14">
      <c r="A12" s="1394">
        <v>5</v>
      </c>
      <c r="B12" s="1409" t="s">
        <v>1449</v>
      </c>
      <c r="C12" s="1400" t="s">
        <v>1450</v>
      </c>
      <c r="D12" s="1410">
        <v>2932110480.8031054</v>
      </c>
      <c r="E12" s="1407">
        <v>258565574.1484229</v>
      </c>
      <c r="G12" s="1403">
        <v>0.13438260002865349</v>
      </c>
      <c r="H12" s="1404">
        <v>0.75</v>
      </c>
      <c r="I12" s="1405">
        <v>2.4923807731367653E-2</v>
      </c>
      <c r="J12" s="1407">
        <v>6444438.6560259787</v>
      </c>
      <c r="K12" s="1407">
        <v>265010012.80444887</v>
      </c>
    </row>
    <row r="13" spans="1:14">
      <c r="A13" s="1394">
        <v>6</v>
      </c>
      <c r="B13" s="1409" t="s">
        <v>1451</v>
      </c>
      <c r="C13" s="1400" t="s">
        <v>1452</v>
      </c>
      <c r="D13" s="1410">
        <v>1986740729.334866</v>
      </c>
      <c r="E13" s="1407">
        <v>159253098.72632274</v>
      </c>
      <c r="G13" s="1403">
        <v>8.27675746856327E-2</v>
      </c>
      <c r="H13" s="1404">
        <v>1</v>
      </c>
      <c r="I13" s="1405">
        <v>3.323174364182354E-2</v>
      </c>
      <c r="J13" s="1407">
        <v>5292258.151039172</v>
      </c>
      <c r="K13" s="1407">
        <v>164545356.87736192</v>
      </c>
    </row>
    <row r="14" spans="1:14">
      <c r="A14" s="1394">
        <v>7</v>
      </c>
      <c r="B14" s="1411" t="s">
        <v>1453</v>
      </c>
      <c r="C14" s="1400"/>
      <c r="D14" s="1412">
        <v>7513716635.7662926</v>
      </c>
      <c r="E14" s="1402">
        <v>663541935.22474492</v>
      </c>
      <c r="G14" s="1408"/>
      <c r="J14" s="1402">
        <v>19902509.268312875</v>
      </c>
      <c r="K14" s="1402">
        <v>683444444.49305773</v>
      </c>
    </row>
    <row r="15" spans="1:14">
      <c r="A15" s="1394">
        <v>8</v>
      </c>
      <c r="C15" s="1400"/>
      <c r="D15" s="1413"/>
      <c r="E15" s="1407"/>
      <c r="G15" s="1408"/>
      <c r="J15" s="1407"/>
      <c r="K15" s="1407"/>
    </row>
    <row r="16" spans="1:14">
      <c r="A16" s="1394">
        <v>9</v>
      </c>
      <c r="B16" s="1390" t="s">
        <v>1454</v>
      </c>
      <c r="C16" s="1400"/>
      <c r="D16" s="1413"/>
      <c r="E16" s="1407"/>
      <c r="G16" s="1408"/>
      <c r="J16" s="1407"/>
      <c r="K16" s="1407"/>
    </row>
    <row r="17" spans="1:11">
      <c r="A17" s="1394">
        <v>10</v>
      </c>
      <c r="B17" s="1409" t="s">
        <v>1455</v>
      </c>
      <c r="C17" s="1400" t="s">
        <v>1456</v>
      </c>
      <c r="D17" s="1410">
        <v>1311816704.9575965</v>
      </c>
      <c r="E17" s="1407">
        <v>104109164.96196488</v>
      </c>
      <c r="G17" s="1403">
        <v>5.4107977523604779E-2</v>
      </c>
      <c r="H17" s="1404">
        <v>1</v>
      </c>
      <c r="I17" s="1405">
        <v>3.323174364182354E-2</v>
      </c>
      <c r="J17" s="1407">
        <v>3459729.0807803343</v>
      </c>
      <c r="K17" s="1407">
        <v>107568894.0427452</v>
      </c>
    </row>
    <row r="18" spans="1:11">
      <c r="A18" s="1394">
        <v>11</v>
      </c>
      <c r="B18" s="1414" t="s">
        <v>1457</v>
      </c>
      <c r="C18" s="1400">
        <v>43</v>
      </c>
      <c r="D18" s="1410">
        <v>148958013.30767041</v>
      </c>
      <c r="E18" s="1407">
        <v>12686206.607833235</v>
      </c>
      <c r="G18" s="1403">
        <v>6.5933194474014347E-3</v>
      </c>
      <c r="H18" s="1404">
        <v>1</v>
      </c>
      <c r="I18" s="1405">
        <v>3.323174364182354E-2</v>
      </c>
      <c r="J18" s="1407">
        <v>421584.76577872189</v>
      </c>
      <c r="K18" s="1407">
        <v>13107791.373611957</v>
      </c>
    </row>
    <row r="19" spans="1:11">
      <c r="A19" s="1394">
        <v>12</v>
      </c>
      <c r="B19" s="1399" t="s">
        <v>1458</v>
      </c>
      <c r="C19" s="1400"/>
      <c r="D19" s="1412">
        <v>1460774718.2652669</v>
      </c>
      <c r="E19" s="1402">
        <v>116795371.56979811</v>
      </c>
      <c r="G19" s="1408"/>
      <c r="J19" s="1402">
        <v>3881313.8465590561</v>
      </c>
      <c r="K19" s="1402">
        <v>120676685.41635716</v>
      </c>
    </row>
    <row r="20" spans="1:11">
      <c r="A20" s="1394">
        <v>13</v>
      </c>
      <c r="C20" s="1400"/>
      <c r="D20" s="1415"/>
      <c r="E20" s="1416"/>
      <c r="G20" s="1417"/>
    </row>
    <row r="21" spans="1:11">
      <c r="A21" s="1394">
        <v>14</v>
      </c>
      <c r="B21" s="1399" t="s">
        <v>1459</v>
      </c>
      <c r="C21" s="1400">
        <v>40</v>
      </c>
      <c r="D21" s="1418">
        <v>770709198.26613879</v>
      </c>
      <c r="E21" s="1402">
        <v>53013428.433875032</v>
      </c>
      <c r="G21" s="1408"/>
      <c r="I21" s="1405">
        <v>1.8915508487588974E-2</v>
      </c>
      <c r="J21" s="1419">
        <v>1002775.9554971538</v>
      </c>
      <c r="K21" s="1402">
        <v>54016204.389372185</v>
      </c>
    </row>
    <row r="22" spans="1:11">
      <c r="A22" s="1394">
        <v>15</v>
      </c>
      <c r="C22" s="1400"/>
      <c r="D22" s="1415"/>
      <c r="E22" s="1416"/>
      <c r="G22" s="1417"/>
    </row>
    <row r="23" spans="1:11">
      <c r="A23" s="1394">
        <v>16</v>
      </c>
      <c r="B23" s="1411" t="s">
        <v>1460</v>
      </c>
      <c r="C23" s="1400" t="s">
        <v>1461</v>
      </c>
      <c r="D23" s="1418">
        <v>576524278.58399999</v>
      </c>
      <c r="E23" s="1402">
        <v>36438104.546547942</v>
      </c>
      <c r="G23" s="1403">
        <v>1.8937738502923122E-2</v>
      </c>
      <c r="H23" s="1404">
        <v>1</v>
      </c>
      <c r="I23" s="1405">
        <v>3.323174364182354E-2</v>
      </c>
      <c r="J23" s="1402">
        <v>1210901.7490848459</v>
      </c>
      <c r="K23" s="1402">
        <v>37649006.295632787</v>
      </c>
    </row>
    <row r="24" spans="1:11">
      <c r="A24" s="1394">
        <v>17</v>
      </c>
      <c r="C24" s="1400"/>
      <c r="D24" s="1415"/>
      <c r="E24" s="1416"/>
      <c r="G24" s="1417"/>
      <c r="J24" s="1420"/>
      <c r="K24" s="1420"/>
    </row>
    <row r="25" spans="1:11">
      <c r="A25" s="1394">
        <v>18</v>
      </c>
      <c r="B25" s="1399" t="s">
        <v>1462</v>
      </c>
      <c r="C25" s="1421" t="s">
        <v>1463</v>
      </c>
      <c r="D25" s="1418">
        <v>1954913503.9983001</v>
      </c>
      <c r="E25" s="1402">
        <v>7033519.1399157904</v>
      </c>
      <c r="G25" s="1403">
        <v>3.6554850446975005E-3</v>
      </c>
      <c r="H25" s="1404">
        <v>1</v>
      </c>
      <c r="I25" s="1405">
        <v>3.323174364182354E-2</v>
      </c>
      <c r="J25" s="1402">
        <v>233736.10495754075</v>
      </c>
      <c r="K25" s="1402">
        <v>7267255.2448733309</v>
      </c>
    </row>
    <row r="26" spans="1:11">
      <c r="A26" s="1394">
        <v>19</v>
      </c>
      <c r="C26" s="1400"/>
      <c r="D26" s="1415"/>
      <c r="E26" s="1416"/>
      <c r="G26" s="1417"/>
      <c r="J26" s="1420"/>
    </row>
    <row r="27" spans="1:11">
      <c r="A27" s="1394">
        <v>20</v>
      </c>
      <c r="B27" s="1390" t="s">
        <v>1464</v>
      </c>
      <c r="C27" s="1400" t="s">
        <v>1465</v>
      </c>
      <c r="D27" s="1418">
        <v>81494849.34449999</v>
      </c>
      <c r="E27" s="1402">
        <v>16975573.845897056</v>
      </c>
      <c r="G27" s="1403">
        <v>8.8226043157647056E-3</v>
      </c>
      <c r="H27" s="1404">
        <v>1</v>
      </c>
      <c r="I27" s="1405">
        <v>3.323174364182354E-2</v>
      </c>
      <c r="J27" s="1402">
        <v>564127.91821969545</v>
      </c>
      <c r="K27" s="1402">
        <v>17539701.764116753</v>
      </c>
    </row>
    <row r="28" spans="1:11">
      <c r="A28" s="1394">
        <v>21</v>
      </c>
      <c r="C28" s="1400"/>
      <c r="D28" s="1422"/>
      <c r="E28" s="1416"/>
      <c r="G28" s="1416"/>
    </row>
    <row r="29" spans="1:11" ht="13.5" thickBot="1">
      <c r="A29" s="1394">
        <v>22</v>
      </c>
      <c r="B29" s="1411" t="s">
        <v>1466</v>
      </c>
      <c r="C29" s="1400"/>
      <c r="D29" s="1423">
        <v>23090880934.712337</v>
      </c>
      <c r="E29" s="1424">
        <v>1977113528.3968966</v>
      </c>
      <c r="I29" s="1405">
        <v>3.1761368327147488E-2</v>
      </c>
      <c r="J29" s="1424">
        <v>62795831.000000007</v>
      </c>
      <c r="K29" s="1424">
        <v>2039909359.3968966</v>
      </c>
    </row>
    <row r="30" spans="1:11" ht="13.5" thickTop="1">
      <c r="A30" s="1394">
        <v>23</v>
      </c>
      <c r="C30" s="1400"/>
      <c r="D30" s="1415"/>
      <c r="E30" s="1416"/>
      <c r="G30" s="1417"/>
      <c r="J30" s="1420"/>
      <c r="K30" s="1420"/>
    </row>
    <row r="31" spans="1:11">
      <c r="A31" s="1425">
        <v>24</v>
      </c>
      <c r="B31" s="1426" t="s">
        <v>1467</v>
      </c>
      <c r="C31" s="1427"/>
      <c r="D31" s="1428">
        <v>7332573.9088840308</v>
      </c>
      <c r="E31" s="1429">
        <v>1217755.077158185</v>
      </c>
      <c r="F31" s="1430"/>
      <c r="G31" s="1431"/>
      <c r="H31" s="1432"/>
      <c r="I31" s="1433">
        <v>0.42992060539936722</v>
      </c>
      <c r="J31" s="1429">
        <v>523538</v>
      </c>
      <c r="K31" s="1429">
        <v>1741293.077158185</v>
      </c>
    </row>
    <row r="32" spans="1:11">
      <c r="A32" s="1394">
        <v>25</v>
      </c>
      <c r="C32" s="1400"/>
      <c r="D32" s="1422"/>
      <c r="E32" s="1416"/>
      <c r="G32" s="1416"/>
    </row>
    <row r="33" spans="1:11" ht="13.5" thickBot="1">
      <c r="A33" s="1394">
        <v>26</v>
      </c>
      <c r="B33" s="1390" t="s">
        <v>1468</v>
      </c>
      <c r="C33" s="1400"/>
      <c r="D33" s="1423">
        <v>23098213508.62122</v>
      </c>
      <c r="E33" s="1424">
        <v>1978331283.4740548</v>
      </c>
      <c r="F33" s="1434">
        <v>63319369</v>
      </c>
      <c r="G33" s="1435">
        <v>1</v>
      </c>
      <c r="I33" s="1435">
        <v>3.2006453888151543E-2</v>
      </c>
      <c r="J33" s="1424">
        <v>63319369.000000007</v>
      </c>
      <c r="K33" s="1424">
        <v>2041650652.4740548</v>
      </c>
    </row>
    <row r="34" spans="1:11" ht="13.5" thickTop="1">
      <c r="A34" s="1394">
        <v>27</v>
      </c>
      <c r="C34" s="1400"/>
      <c r="D34" s="1406"/>
      <c r="E34" s="1407"/>
      <c r="F34" s="1407"/>
      <c r="G34" s="1436"/>
      <c r="H34" s="1407"/>
      <c r="I34" s="1436"/>
      <c r="J34" s="1407"/>
      <c r="K34" s="1407"/>
    </row>
    <row r="35" spans="1:11" ht="13.5" thickBot="1">
      <c r="A35" s="1394">
        <v>28</v>
      </c>
      <c r="C35" s="1400"/>
      <c r="D35" s="1400"/>
      <c r="J35" s="1437"/>
      <c r="K35" s="1437"/>
    </row>
    <row r="36" spans="1:11">
      <c r="A36" s="1394">
        <v>29</v>
      </c>
      <c r="B36" s="1438" t="s">
        <v>1469</v>
      </c>
      <c r="C36" s="1439"/>
      <c r="D36" s="1439"/>
      <c r="E36" s="1440"/>
      <c r="F36" s="1441">
        <v>1</v>
      </c>
      <c r="G36" s="1440"/>
      <c r="H36" s="1441"/>
      <c r="I36" s="1442">
        <v>3.2006453888151543E-2</v>
      </c>
    </row>
    <row r="37" spans="1:11">
      <c r="A37" s="1394">
        <v>30</v>
      </c>
      <c r="B37" s="1443" t="s">
        <v>1470</v>
      </c>
      <c r="C37" s="1444"/>
      <c r="D37" s="1444"/>
      <c r="E37" s="1420"/>
      <c r="F37" s="1420"/>
      <c r="G37" s="1420"/>
      <c r="H37" s="1420"/>
      <c r="I37" s="1445">
        <v>3.2115301613305058E-2</v>
      </c>
      <c r="K37" s="1437"/>
    </row>
    <row r="38" spans="1:11" ht="13.5" thickBot="1">
      <c r="A38" s="1394">
        <v>31</v>
      </c>
      <c r="B38" s="1446" t="s">
        <v>1471</v>
      </c>
      <c r="C38" s="1444"/>
      <c r="D38" s="1444"/>
      <c r="E38" s="1420"/>
      <c r="F38" s="1420"/>
      <c r="G38" s="1420"/>
      <c r="H38" s="1420"/>
      <c r="I38" s="1447">
        <v>1.0347635542073175</v>
      </c>
      <c r="K38" s="1437"/>
    </row>
    <row r="39" spans="1:11" ht="13.5" thickBot="1">
      <c r="A39" s="1394">
        <v>32</v>
      </c>
      <c r="B39" s="1448" t="s">
        <v>1472</v>
      </c>
      <c r="C39" s="1449"/>
      <c r="D39" s="1449"/>
      <c r="E39" s="1450"/>
      <c r="F39" s="1450"/>
      <c r="G39" s="1450"/>
      <c r="H39" s="1450"/>
      <c r="I39" s="1451">
        <v>3.323174364182354E-2</v>
      </c>
      <c r="K39" s="1437"/>
    </row>
    <row r="40" spans="1:11" ht="12.75" customHeight="1">
      <c r="B40" s="1452"/>
      <c r="C40" s="1452"/>
      <c r="D40" s="1452"/>
      <c r="E40" s="1452"/>
      <c r="F40" s="1452"/>
      <c r="G40" s="1452"/>
    </row>
    <row r="41" spans="1:11">
      <c r="C41" s="1400"/>
      <c r="D41" s="1400"/>
    </row>
    <row r="42" spans="1:11">
      <c r="C42" s="1400"/>
      <c r="D42" s="1400"/>
    </row>
    <row r="43" spans="1:11">
      <c r="C43" s="1400"/>
      <c r="D43" s="1400"/>
    </row>
    <row r="44" spans="1:11">
      <c r="C44" s="1400"/>
      <c r="D44" s="1400"/>
    </row>
    <row r="45" spans="1:11">
      <c r="C45" s="1400"/>
      <c r="D45" s="1400"/>
    </row>
    <row r="46" spans="1:11">
      <c r="C46" s="1400"/>
      <c r="D46" s="1400"/>
    </row>
    <row r="47" spans="1:11">
      <c r="C47" s="1400"/>
      <c r="D47" s="1400"/>
    </row>
    <row r="48" spans="1:11">
      <c r="C48" s="1400"/>
      <c r="D48" s="1400"/>
    </row>
    <row r="49" spans="3:4">
      <c r="C49" s="1400"/>
      <c r="D49" s="1400"/>
    </row>
    <row r="50" spans="3:4">
      <c r="C50" s="1400"/>
      <c r="D50" s="1400"/>
    </row>
    <row r="51" spans="3:4">
      <c r="C51" s="1400"/>
      <c r="D51" s="1400"/>
    </row>
    <row r="52" spans="3:4">
      <c r="C52" s="1400"/>
      <c r="D52" s="1400"/>
    </row>
    <row r="53" spans="3:4">
      <c r="C53" s="1400"/>
      <c r="D53" s="1400"/>
    </row>
  </sheetData>
  <mergeCells count="4">
    <mergeCell ref="A1:K1"/>
    <mergeCell ref="A2:K2"/>
    <mergeCell ref="A3:K3"/>
    <mergeCell ref="J4:K4"/>
  </mergeCells>
  <printOptions horizontalCentered="1"/>
  <pageMargins left="0.25" right="0.25" top="1" bottom="1" header="0.5" footer="0.5"/>
  <pageSetup scale="65" orientation="landscape" r:id="rId1"/>
  <headerFooter alignWithMargins="0">
    <oddFooter>&amp;R&amp;"Times New Roman,Regular"Docket No. UE-111048
Compliance Filing, Advice No. 2012-10
ECOS Workpapers
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workbookViewId="0">
      <selection activeCell="J5" sqref="J5:K5"/>
    </sheetView>
  </sheetViews>
  <sheetFormatPr defaultColWidth="14.33203125" defaultRowHeight="12.75"/>
  <cols>
    <col min="1" max="1" width="5" style="1390" bestFit="1" customWidth="1"/>
    <col min="2" max="2" width="35.33203125" style="1390" bestFit="1" customWidth="1"/>
    <col min="3" max="10" width="13.83203125" style="1390" customWidth="1"/>
    <col min="11" max="11" width="20" style="1390" customWidth="1"/>
    <col min="12" max="16384" width="14.33203125" style="1390"/>
  </cols>
  <sheetData>
    <row r="1" spans="1:12">
      <c r="A1" s="1489" t="s">
        <v>840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</row>
    <row r="2" spans="1:12">
      <c r="A2" s="1489" t="s">
        <v>1474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</row>
    <row r="3" spans="1:12">
      <c r="A3" s="1489" t="s">
        <v>1475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2" ht="13.5" thickBot="1">
      <c r="A4" s="1490" t="s">
        <v>1476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</row>
    <row r="5" spans="1:12" ht="16.5" thickBot="1">
      <c r="B5" s="1391"/>
      <c r="C5" s="1391"/>
      <c r="D5" s="1391"/>
      <c r="E5" s="1391"/>
      <c r="F5" s="1391"/>
      <c r="G5" s="1391"/>
      <c r="H5" s="1391"/>
      <c r="I5" s="1391"/>
      <c r="J5" s="1483" t="s">
        <v>1491</v>
      </c>
      <c r="K5" s="1485"/>
    </row>
    <row r="7" spans="1:12">
      <c r="F7" s="1494" t="s">
        <v>843</v>
      </c>
      <c r="G7" s="1495"/>
      <c r="H7" s="1496" t="s">
        <v>1477</v>
      </c>
      <c r="I7" s="1497"/>
    </row>
    <row r="8" spans="1:12">
      <c r="A8" s="1400" t="s">
        <v>846</v>
      </c>
      <c r="C8" s="1498" t="s">
        <v>1478</v>
      </c>
      <c r="D8" s="1499"/>
      <c r="E8" s="1500"/>
      <c r="F8" s="1501">
        <v>0</v>
      </c>
      <c r="G8" s="1502"/>
      <c r="H8" s="1501">
        <v>0</v>
      </c>
      <c r="I8" s="1502"/>
      <c r="J8" s="1498" t="s">
        <v>1479</v>
      </c>
      <c r="K8" s="1500"/>
    </row>
    <row r="9" spans="1:12">
      <c r="A9" s="1453" t="s">
        <v>1480</v>
      </c>
      <c r="B9" s="1453"/>
      <c r="C9" s="1454" t="s">
        <v>843</v>
      </c>
      <c r="D9" s="1453" t="s">
        <v>1481</v>
      </c>
      <c r="E9" s="1455" t="s">
        <v>603</v>
      </c>
      <c r="F9" s="1454" t="s">
        <v>1482</v>
      </c>
      <c r="G9" s="1455" t="s">
        <v>507</v>
      </c>
      <c r="H9" s="1453" t="s">
        <v>1482</v>
      </c>
      <c r="I9" s="1455" t="s">
        <v>507</v>
      </c>
      <c r="J9" s="1454" t="s">
        <v>1483</v>
      </c>
      <c r="K9" s="1455" t="s">
        <v>1484</v>
      </c>
    </row>
    <row r="10" spans="1:12" s="1394" customFormat="1">
      <c r="A10" s="1456"/>
      <c r="B10" s="1456" t="s">
        <v>770</v>
      </c>
      <c r="C10" s="1457" t="s">
        <v>773</v>
      </c>
      <c r="D10" s="1457" t="s">
        <v>187</v>
      </c>
      <c r="E10" s="1457" t="s">
        <v>1346</v>
      </c>
      <c r="F10" s="1457" t="s">
        <v>1347</v>
      </c>
      <c r="G10" s="1457" t="s">
        <v>1348</v>
      </c>
      <c r="H10" s="1457" t="s">
        <v>1349</v>
      </c>
      <c r="I10" s="1457" t="s">
        <v>1350</v>
      </c>
      <c r="J10" s="1457" t="s">
        <v>1351</v>
      </c>
      <c r="K10" s="1457" t="s">
        <v>1352</v>
      </c>
      <c r="L10" s="1457"/>
    </row>
    <row r="11" spans="1:12" s="1394" customFormat="1">
      <c r="A11" s="1456"/>
      <c r="B11" s="1456"/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</row>
    <row r="12" spans="1:12">
      <c r="A12" s="1444"/>
      <c r="B12" s="1503" t="s">
        <v>752</v>
      </c>
      <c r="C12" s="1492"/>
      <c r="D12" s="1492"/>
      <c r="E12" s="1492"/>
      <c r="F12" s="1492"/>
      <c r="G12" s="1492"/>
      <c r="H12" s="1492"/>
      <c r="I12" s="1492"/>
      <c r="J12" s="1492"/>
      <c r="K12" s="1493"/>
    </row>
    <row r="13" spans="1:12">
      <c r="A13" s="1444"/>
      <c r="B13" s="1444"/>
      <c r="C13" s="1444"/>
      <c r="D13" s="1444"/>
      <c r="E13" s="1444"/>
      <c r="F13" s="1444"/>
      <c r="G13" s="1444"/>
      <c r="H13" s="1444"/>
      <c r="I13" s="1444"/>
      <c r="J13" s="1444"/>
      <c r="K13" s="1444"/>
    </row>
    <row r="14" spans="1:12">
      <c r="A14" s="1394">
        <v>1</v>
      </c>
      <c r="B14" s="1411" t="s">
        <v>1485</v>
      </c>
      <c r="C14" s="1406">
        <v>7244326</v>
      </c>
      <c r="D14" s="1406">
        <v>88247.908884030432</v>
      </c>
      <c r="E14" s="1406">
        <v>7332573.9088840308</v>
      </c>
      <c r="F14" s="1458">
        <v>3.5139999999999998E-2</v>
      </c>
      <c r="G14" s="1407">
        <v>257666.64715818482</v>
      </c>
      <c r="H14" s="1458"/>
      <c r="I14" s="1407"/>
    </row>
    <row r="15" spans="1:12">
      <c r="A15" s="1394">
        <v>2</v>
      </c>
      <c r="C15" s="1459"/>
      <c r="D15" s="1459"/>
      <c r="E15" s="1459"/>
      <c r="F15" s="1420"/>
      <c r="G15" s="1420"/>
      <c r="H15" s="1420"/>
      <c r="I15" s="1420"/>
    </row>
    <row r="16" spans="1:12">
      <c r="A16" s="1394">
        <v>3</v>
      </c>
      <c r="B16" s="1411" t="s">
        <v>1486</v>
      </c>
      <c r="C16" s="1406">
        <v>15165.239999999998</v>
      </c>
      <c r="D16" s="1406"/>
      <c r="E16" s="1406">
        <v>15165.239999999998</v>
      </c>
      <c r="F16" s="1460">
        <v>5.25</v>
      </c>
      <c r="G16" s="1407">
        <v>79617.509999999995</v>
      </c>
      <c r="H16" s="1460"/>
      <c r="I16" s="1407"/>
    </row>
    <row r="17" spans="1:11">
      <c r="A17" s="1394">
        <v>4</v>
      </c>
      <c r="C17" s="1406"/>
      <c r="D17" s="1406"/>
      <c r="E17" s="1406"/>
      <c r="F17" s="1420"/>
      <c r="G17" s="1407"/>
      <c r="H17" s="1420"/>
      <c r="I17" s="1407"/>
    </row>
    <row r="18" spans="1:11">
      <c r="A18" s="1394">
        <v>5</v>
      </c>
      <c r="B18" s="1411" t="s">
        <v>1487</v>
      </c>
      <c r="C18" s="1461">
        <v>2403120</v>
      </c>
      <c r="D18" s="1461"/>
      <c r="E18" s="1406">
        <v>2403120</v>
      </c>
      <c r="F18" s="1462">
        <v>2.5000000000000001E-4</v>
      </c>
      <c r="G18" s="1407">
        <v>600.78</v>
      </c>
      <c r="H18" s="1462"/>
      <c r="I18" s="1407"/>
    </row>
    <row r="19" spans="1:11">
      <c r="A19" s="1394">
        <v>6</v>
      </c>
      <c r="C19" s="1459"/>
      <c r="D19" s="1459"/>
      <c r="E19" s="1459"/>
      <c r="F19" s="1420"/>
      <c r="G19" s="1420"/>
      <c r="H19" s="1420"/>
      <c r="I19" s="1420"/>
    </row>
    <row r="20" spans="1:11">
      <c r="A20" s="1394">
        <v>7</v>
      </c>
      <c r="B20" s="1390" t="s">
        <v>1488</v>
      </c>
      <c r="C20" s="1420"/>
      <c r="D20" s="1420"/>
      <c r="E20" s="1420"/>
      <c r="F20" s="1420"/>
      <c r="G20" s="1463">
        <v>337884.93715818482</v>
      </c>
      <c r="H20" s="1420"/>
      <c r="I20" s="1463">
        <v>537775.93715818482</v>
      </c>
      <c r="J20" s="1464">
        <v>199891</v>
      </c>
      <c r="K20" s="1465">
        <v>0.59159488339789079</v>
      </c>
    </row>
    <row r="21" spans="1:11">
      <c r="A21" s="1394">
        <f t="shared" ref="A21:A23" si="0">+A20+1</f>
        <v>8</v>
      </c>
      <c r="C21" s="1466"/>
      <c r="D21" s="1466"/>
      <c r="E21" s="1466"/>
    </row>
    <row r="22" spans="1:11">
      <c r="A22" s="1394">
        <f t="shared" si="0"/>
        <v>9</v>
      </c>
      <c r="B22" s="1430"/>
      <c r="C22" s="1430"/>
      <c r="D22" s="1430"/>
      <c r="E22" s="1430"/>
      <c r="F22" s="1430"/>
      <c r="G22" s="1430"/>
      <c r="H22" s="1430"/>
      <c r="I22" s="1430"/>
      <c r="J22" s="1430"/>
      <c r="K22" s="1430"/>
    </row>
    <row r="23" spans="1:11">
      <c r="A23" s="1394">
        <f t="shared" si="0"/>
        <v>10</v>
      </c>
      <c r="B23" s="1491" t="s">
        <v>1489</v>
      </c>
      <c r="C23" s="1492"/>
      <c r="D23" s="1492"/>
      <c r="E23" s="1492"/>
      <c r="F23" s="1492"/>
      <c r="G23" s="1492"/>
      <c r="H23" s="1492"/>
      <c r="I23" s="1492"/>
      <c r="J23" s="1492"/>
      <c r="K23" s="1493"/>
    </row>
    <row r="24" spans="1:11">
      <c r="A24" s="1467">
        <v>11</v>
      </c>
      <c r="B24" s="1468"/>
      <c r="C24" s="1468"/>
      <c r="D24" s="1468"/>
      <c r="E24" s="1468"/>
      <c r="F24" s="1468"/>
      <c r="G24" s="1468"/>
      <c r="H24" s="1468"/>
      <c r="I24" s="1468"/>
      <c r="J24" s="1468"/>
      <c r="K24" s="1468"/>
    </row>
    <row r="25" spans="1:11">
      <c r="A25" s="1467">
        <v>12</v>
      </c>
      <c r="B25" s="1469" t="s">
        <v>1488</v>
      </c>
      <c r="C25" s="1470"/>
      <c r="D25" s="1470"/>
      <c r="E25" s="1470"/>
      <c r="F25" s="1470"/>
      <c r="G25" s="1471">
        <v>879870.14000000013</v>
      </c>
      <c r="H25" s="1470"/>
      <c r="I25" s="1471">
        <v>1203518.1400000001</v>
      </c>
      <c r="J25" s="1472">
        <v>323648</v>
      </c>
      <c r="K25" s="1465">
        <v>0.36783609908616738</v>
      </c>
    </row>
    <row r="26" spans="1:11">
      <c r="A26" s="1467">
        <v>13</v>
      </c>
      <c r="B26" s="1469"/>
      <c r="C26" s="1469"/>
      <c r="D26" s="1469"/>
      <c r="E26" s="1469"/>
      <c r="F26" s="1469"/>
      <c r="G26" s="1469"/>
      <c r="H26" s="1469"/>
      <c r="I26" s="1469"/>
      <c r="J26" s="1473"/>
      <c r="K26" s="1469"/>
    </row>
    <row r="27" spans="1:11">
      <c r="A27" s="1467">
        <v>14</v>
      </c>
      <c r="B27" s="1469"/>
      <c r="C27" s="1469"/>
      <c r="D27" s="1469"/>
      <c r="E27" s="1469"/>
      <c r="F27" s="1469"/>
      <c r="G27" s="1469"/>
      <c r="H27" s="1469"/>
      <c r="I27" s="1469"/>
      <c r="J27" s="1473"/>
      <c r="K27" s="1469"/>
    </row>
    <row r="28" spans="1:11">
      <c r="A28" s="1467">
        <v>15</v>
      </c>
      <c r="B28" s="1473" t="s">
        <v>1490</v>
      </c>
      <c r="C28" s="1469"/>
      <c r="D28" s="1469"/>
      <c r="E28" s="1469"/>
      <c r="F28" s="1469"/>
      <c r="G28" s="1474">
        <v>1217755.077158185</v>
      </c>
      <c r="H28" s="1469"/>
      <c r="I28" s="1474">
        <v>1741294.077158185</v>
      </c>
      <c r="J28" s="1475">
        <v>523539</v>
      </c>
      <c r="K28" s="1465">
        <v>0.42992142658255811</v>
      </c>
    </row>
  </sheetData>
  <mergeCells count="13">
    <mergeCell ref="B23:K23"/>
    <mergeCell ref="A1:K1"/>
    <mergeCell ref="A2:K2"/>
    <mergeCell ref="A3:K3"/>
    <mergeCell ref="A4:K4"/>
    <mergeCell ref="F7:G7"/>
    <mergeCell ref="H7:I7"/>
    <mergeCell ref="C8:E8"/>
    <mergeCell ref="F8:G8"/>
    <mergeCell ref="H8:I8"/>
    <mergeCell ref="J8:K8"/>
    <mergeCell ref="B12:K12"/>
    <mergeCell ref="J5:K5"/>
  </mergeCells>
  <printOptions horizontalCentered="1"/>
  <pageMargins left="0.25" right="0.25" top="1" bottom="1" header="0.5" footer="0.5"/>
  <pageSetup scale="65" orientation="landscape" r:id="rId1"/>
  <headerFooter alignWithMargins="0">
    <oddFooter>&amp;R&amp;"Times New Roman,Regular"Docket No. UE-111048
Compliance Filing, Advice No. 2012-10
ECOS Workpapers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indexed="38"/>
    <pageSetUpPr fitToPage="1"/>
  </sheetPr>
  <dimension ref="A1:T65"/>
  <sheetViews>
    <sheetView topLeftCell="A7" zoomScaleNormal="100" workbookViewId="0">
      <selection activeCell="E26" sqref="E26:G26"/>
    </sheetView>
  </sheetViews>
  <sheetFormatPr defaultColWidth="10.6640625" defaultRowHeight="12.75"/>
  <cols>
    <col min="1" max="1" width="8" style="257" bestFit="1" customWidth="1"/>
    <col min="2" max="2" width="2.33203125" style="258" customWidth="1"/>
    <col min="3" max="3" width="26.5" style="258" customWidth="1"/>
    <col min="4" max="4" width="12.83203125" style="258" customWidth="1"/>
    <col min="5" max="5" width="10.83203125" style="258" customWidth="1"/>
    <col min="6" max="6" width="12" style="258" customWidth="1"/>
    <col min="7" max="7" width="12.1640625" style="258" customWidth="1"/>
    <col min="8" max="8" width="11.5" style="258" customWidth="1"/>
    <col min="9" max="9" width="11" style="258" customWidth="1"/>
    <col min="10" max="10" width="10.83203125" style="258" customWidth="1"/>
    <col min="11" max="11" width="10.5" style="258" customWidth="1"/>
    <col min="12" max="12" width="11" style="258" customWidth="1"/>
    <col min="13" max="14" width="10.6640625" style="258" customWidth="1"/>
    <col min="15" max="16" width="12.33203125" style="258" customWidth="1"/>
    <col min="17" max="17" width="17.1640625" style="258" bestFit="1" customWidth="1"/>
    <col min="18" max="18" width="13.6640625" style="258" bestFit="1" customWidth="1"/>
    <col min="19" max="19" width="18" style="258" bestFit="1" customWidth="1"/>
    <col min="20" max="16384" width="10.6640625" style="258"/>
  </cols>
  <sheetData>
    <row r="1" spans="1:20" ht="18">
      <c r="A1" s="336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20" ht="18.75">
      <c r="A2" s="258"/>
      <c r="B2" s="293"/>
      <c r="C2" s="1506" t="s">
        <v>482</v>
      </c>
      <c r="D2" s="1506"/>
      <c r="E2" s="1506"/>
      <c r="F2" s="1506"/>
      <c r="G2" s="1506"/>
      <c r="H2" s="1506"/>
      <c r="I2" s="1506"/>
      <c r="J2" s="1506"/>
      <c r="K2" s="1506"/>
      <c r="L2" s="1506"/>
      <c r="M2" s="1506"/>
      <c r="N2" s="1506"/>
      <c r="O2" s="1506"/>
      <c r="P2" s="1506"/>
    </row>
    <row r="3" spans="1:20" ht="18">
      <c r="A3" s="258"/>
      <c r="B3" s="293"/>
      <c r="C3" s="1507" t="s">
        <v>483</v>
      </c>
      <c r="D3" s="1507"/>
      <c r="E3" s="1507"/>
      <c r="F3" s="1507"/>
      <c r="G3" s="1507"/>
      <c r="H3" s="1507"/>
      <c r="I3" s="1507"/>
      <c r="J3" s="1507"/>
      <c r="K3" s="1507"/>
      <c r="L3" s="1507"/>
      <c r="M3" s="1507"/>
      <c r="N3" s="1507"/>
      <c r="O3" s="1507"/>
      <c r="P3" s="1507"/>
    </row>
    <row r="4" spans="1:20" ht="18">
      <c r="A4" s="258"/>
      <c r="B4" s="293"/>
      <c r="C4" s="1507" t="s">
        <v>484</v>
      </c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</row>
    <row r="5" spans="1:20" ht="18" customHeight="1">
      <c r="A5" s="258"/>
      <c r="B5" s="295"/>
      <c r="C5" s="1507" t="s">
        <v>1423</v>
      </c>
      <c r="D5" s="1507"/>
      <c r="E5" s="1507"/>
      <c r="F5" s="1507"/>
      <c r="G5" s="1507"/>
      <c r="H5" s="1507"/>
      <c r="I5" s="1507"/>
      <c r="J5" s="1507"/>
      <c r="K5" s="1507"/>
      <c r="L5" s="1507"/>
      <c r="M5" s="1507"/>
      <c r="N5" s="1507"/>
      <c r="O5" s="1507"/>
      <c r="P5" s="1507"/>
    </row>
    <row r="6" spans="1:20" ht="18" customHeight="1">
      <c r="A6" s="258"/>
      <c r="B6" s="295"/>
      <c r="C6" s="1508" t="s">
        <v>485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8"/>
    </row>
    <row r="7" spans="1:20" ht="18" customHeight="1" thickBot="1">
      <c r="A7" s="258"/>
      <c r="B7" s="295"/>
      <c r="C7" s="377"/>
      <c r="D7" s="1135" t="s">
        <v>503</v>
      </c>
      <c r="E7" s="1135" t="s">
        <v>503</v>
      </c>
      <c r="F7" s="1135" t="s">
        <v>503</v>
      </c>
      <c r="G7" s="1135" t="s">
        <v>503</v>
      </c>
      <c r="H7" s="1135" t="s">
        <v>503</v>
      </c>
      <c r="I7" s="1135" t="s">
        <v>503</v>
      </c>
      <c r="J7" s="1135" t="s">
        <v>503</v>
      </c>
      <c r="K7" s="1135" t="s">
        <v>503</v>
      </c>
      <c r="L7" s="1135" t="s">
        <v>503</v>
      </c>
      <c r="M7" s="1135" t="s">
        <v>503</v>
      </c>
      <c r="N7" s="1135" t="s">
        <v>503</v>
      </c>
      <c r="O7" s="1135" t="s">
        <v>503</v>
      </c>
      <c r="P7" s="1135" t="s">
        <v>503</v>
      </c>
    </row>
    <row r="8" spans="1:20" ht="39.950000000000003" customHeight="1">
      <c r="A8" s="258"/>
      <c r="B8" s="934" t="s">
        <v>1086</v>
      </c>
      <c r="C8" s="259"/>
      <c r="D8" s="935"/>
      <c r="E8" s="935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7"/>
      <c r="Q8" s="259"/>
      <c r="R8" s="259"/>
      <c r="S8" s="259"/>
      <c r="T8" s="259"/>
    </row>
    <row r="9" spans="1:20" s="260" customFormat="1">
      <c r="A9"/>
      <c r="B9"/>
      <c r="C9"/>
      <c r="D9" s="938">
        <v>41030</v>
      </c>
      <c r="E9" s="938">
        <v>41061</v>
      </c>
      <c r="F9" s="938">
        <v>41091</v>
      </c>
      <c r="G9" s="938">
        <v>41122</v>
      </c>
      <c r="H9" s="938">
        <v>41153</v>
      </c>
      <c r="I9" s="938">
        <v>41183</v>
      </c>
      <c r="J9" s="938">
        <v>41214</v>
      </c>
      <c r="K9" s="938">
        <v>41244</v>
      </c>
      <c r="L9" s="938">
        <v>41275</v>
      </c>
      <c r="M9" s="938">
        <v>41306</v>
      </c>
      <c r="N9" s="938">
        <v>41334</v>
      </c>
      <c r="O9" s="938">
        <v>41365</v>
      </c>
      <c r="P9" s="939" t="s">
        <v>769</v>
      </c>
      <c r="Q9" s="1302"/>
      <c r="R9" s="1302"/>
      <c r="S9" s="1302"/>
      <c r="T9" s="1302"/>
    </row>
    <row r="10" spans="1:20" s="260" customFormat="1" ht="12.75" customHeight="1">
      <c r="A10">
        <v>501</v>
      </c>
      <c r="B10"/>
      <c r="C10" s="105" t="s">
        <v>318</v>
      </c>
      <c r="D10" s="1099">
        <v>5531.277500975777</v>
      </c>
      <c r="E10" s="1099">
        <v>7368.629055261491</v>
      </c>
      <c r="F10" s="1099">
        <v>7821.0352695472066</v>
      </c>
      <c r="G10" s="1099">
        <v>7878.2429266900635</v>
      </c>
      <c r="H10" s="1099">
        <v>7708.9892981186349</v>
      </c>
      <c r="I10" s="1099">
        <v>7923.3193266900644</v>
      </c>
      <c r="J10" s="1099">
        <v>7726.0997124043488</v>
      </c>
      <c r="K10" s="1099">
        <v>7940.501140975779</v>
      </c>
      <c r="L10" s="1099">
        <v>8015.1783640476788</v>
      </c>
      <c r="M10" s="1099">
        <v>7372.9424069048273</v>
      </c>
      <c r="N10" s="1099">
        <v>8013.7332926191066</v>
      </c>
      <c r="O10" s="1099">
        <v>6425.8005926191017</v>
      </c>
      <c r="P10" s="1385">
        <f t="shared" ref="P10:P15" si="0">SUM(B10:O10)</f>
        <v>89725.748886854068</v>
      </c>
      <c r="Q10" s="1303"/>
      <c r="R10" s="1302"/>
      <c r="S10" s="1302"/>
      <c r="T10" s="1302"/>
    </row>
    <row r="11" spans="1:20" s="260" customFormat="1" ht="13.5">
      <c r="A11">
        <v>547</v>
      </c>
      <c r="B11"/>
      <c r="C11" s="105" t="s">
        <v>319</v>
      </c>
      <c r="D11" s="1099">
        <v>6996.4335981713211</v>
      </c>
      <c r="E11" s="1099">
        <v>10924.897869173778</v>
      </c>
      <c r="F11" s="1099">
        <v>20143.170343887214</v>
      </c>
      <c r="G11" s="1099">
        <v>23083.39699607301</v>
      </c>
      <c r="H11" s="1099">
        <v>22614.835326418692</v>
      </c>
      <c r="I11" s="1099">
        <v>18755.945070276575</v>
      </c>
      <c r="J11" s="1099">
        <v>14895.140727048578</v>
      </c>
      <c r="K11" s="1099">
        <v>12461.428338504073</v>
      </c>
      <c r="L11" s="1099">
        <v>14225.774122262079</v>
      </c>
      <c r="M11" s="1099">
        <v>15743.822946913155</v>
      </c>
      <c r="N11" s="1099">
        <v>12437.298919426861</v>
      </c>
      <c r="O11" s="1099">
        <v>11746.265344995067</v>
      </c>
      <c r="P11" s="1385">
        <f t="shared" si="0"/>
        <v>184028.40960315042</v>
      </c>
      <c r="Q11" s="1303"/>
      <c r="R11" s="1302"/>
      <c r="S11" s="1302"/>
      <c r="T11" s="1302"/>
    </row>
    <row r="12" spans="1:20" s="260" customFormat="1" ht="13.5">
      <c r="A12">
        <v>555</v>
      </c>
      <c r="B12"/>
      <c r="C12" s="105" t="s">
        <v>427</v>
      </c>
      <c r="D12" s="1099">
        <v>35517.039535914148</v>
      </c>
      <c r="E12" s="1099">
        <v>34300.494185576063</v>
      </c>
      <c r="F12" s="1099">
        <v>21230.831979221111</v>
      </c>
      <c r="G12" s="1099">
        <v>19406.035147289709</v>
      </c>
      <c r="H12" s="1099">
        <v>21263.110117529181</v>
      </c>
      <c r="I12" s="1099">
        <v>36465.935843516811</v>
      </c>
      <c r="J12" s="1099">
        <v>53214.002993214555</v>
      </c>
      <c r="K12" s="1099">
        <v>68394.769614558856</v>
      </c>
      <c r="L12" s="1099">
        <v>59404.520624617617</v>
      </c>
      <c r="M12" s="1099">
        <v>49874.879973389048</v>
      </c>
      <c r="N12" s="1099">
        <v>45952.903890793801</v>
      </c>
      <c r="O12" s="1099">
        <v>32017.879171954861</v>
      </c>
      <c r="P12" s="1385">
        <f t="shared" si="0"/>
        <v>477042.40307757579</v>
      </c>
      <c r="Q12" s="1303"/>
      <c r="R12" s="1302"/>
      <c r="S12" s="1302"/>
      <c r="T12" s="1302"/>
    </row>
    <row r="13" spans="1:20" s="260" customFormat="1" ht="13.5">
      <c r="A13">
        <v>557</v>
      </c>
      <c r="B13"/>
      <c r="C13" s="105" t="s">
        <v>428</v>
      </c>
      <c r="D13" s="1099">
        <v>669.10857916666669</v>
      </c>
      <c r="E13" s="1099">
        <v>669.10857916666669</v>
      </c>
      <c r="F13" s="1099">
        <v>669.10857916666669</v>
      </c>
      <c r="G13" s="1099">
        <v>669.10857916666669</v>
      </c>
      <c r="H13" s="1099">
        <v>669.10857916666669</v>
      </c>
      <c r="I13" s="1099">
        <v>669.10857916666669</v>
      </c>
      <c r="J13" s="1099">
        <v>669.10857916666669</v>
      </c>
      <c r="K13" s="1099">
        <v>669.10857916666669</v>
      </c>
      <c r="L13" s="1099">
        <v>669.10857916666669</v>
      </c>
      <c r="M13" s="1099">
        <v>669.10857916666669</v>
      </c>
      <c r="N13" s="1099">
        <v>669.10857916666669</v>
      </c>
      <c r="O13" s="1099">
        <v>669.10857916666669</v>
      </c>
      <c r="P13" s="1385">
        <f t="shared" si="0"/>
        <v>8029.3029499999984</v>
      </c>
      <c r="Q13" s="1303"/>
      <c r="R13" s="1302"/>
      <c r="S13" s="1302"/>
      <c r="T13" s="1302"/>
    </row>
    <row r="14" spans="1:20" s="260" customFormat="1" ht="13.5">
      <c r="A14">
        <v>565</v>
      </c>
      <c r="B14"/>
      <c r="C14" s="105" t="s">
        <v>263</v>
      </c>
      <c r="D14" s="1099">
        <v>7376.3125214266665</v>
      </c>
      <c r="E14" s="1099">
        <v>7459.3264047496959</v>
      </c>
      <c r="F14" s="1099">
        <v>7361.655753107595</v>
      </c>
      <c r="G14" s="1099">
        <v>7479.1977549431313</v>
      </c>
      <c r="H14" s="1099">
        <v>7595.6100837918766</v>
      </c>
      <c r="I14" s="1099">
        <v>7735.6756786554997</v>
      </c>
      <c r="J14" s="1099">
        <v>7912.6026543153957</v>
      </c>
      <c r="K14" s="1099">
        <v>7939.4490365516804</v>
      </c>
      <c r="L14" s="1099">
        <v>7990.0351271209283</v>
      </c>
      <c r="M14" s="1099">
        <v>8024.3460581647951</v>
      </c>
      <c r="N14" s="1099">
        <v>7774.5423980946453</v>
      </c>
      <c r="O14" s="1099">
        <v>7679.8360799843513</v>
      </c>
      <c r="P14" s="1385">
        <f t="shared" si="0"/>
        <v>92328.589550906268</v>
      </c>
      <c r="Q14" s="1303"/>
      <c r="R14" s="1302"/>
      <c r="S14" s="1302"/>
      <c r="T14" s="1302"/>
    </row>
    <row r="15" spans="1:20" ht="13.5">
      <c r="A15">
        <v>447</v>
      </c>
      <c r="B15"/>
      <c r="C15" s="105" t="s">
        <v>429</v>
      </c>
      <c r="D15" s="1099">
        <v>-2860.7157857142865</v>
      </c>
      <c r="E15" s="1099">
        <v>-11009.730914285714</v>
      </c>
      <c r="F15" s="1099">
        <v>-5193.1207571428595</v>
      </c>
      <c r="G15" s="1099">
        <v>-3922.8081142857145</v>
      </c>
      <c r="H15" s="1099">
        <v>-2661.5850385714289</v>
      </c>
      <c r="I15" s="1099">
        <v>-4014.8401285714285</v>
      </c>
      <c r="J15" s="1099">
        <v>-1980.7233742857147</v>
      </c>
      <c r="K15" s="1099">
        <v>-1503.6040177284283</v>
      </c>
      <c r="L15" s="1099">
        <v>-1235.2769162857144</v>
      </c>
      <c r="M15" s="1099">
        <v>-2686.4662342857155</v>
      </c>
      <c r="N15" s="1099">
        <v>-1536.4830542857139</v>
      </c>
      <c r="O15" s="1099">
        <v>-2419.4803000000002</v>
      </c>
      <c r="P15" s="1385">
        <f t="shared" si="0"/>
        <v>-41024.834635442719</v>
      </c>
      <c r="Q15" s="1303"/>
      <c r="R15" s="259"/>
      <c r="S15" s="259"/>
      <c r="T15" s="259"/>
    </row>
    <row r="16" spans="1:20" ht="13.5">
      <c r="A16"/>
      <c r="B16"/>
      <c r="C16" s="941" t="s">
        <v>1032</v>
      </c>
      <c r="D16" s="1176">
        <f t="shared" ref="D16:O16" si="1">SUM(D10:D15)</f>
        <v>53229.455949940297</v>
      </c>
      <c r="E16" s="1176">
        <f t="shared" si="1"/>
        <v>49712.725179641988</v>
      </c>
      <c r="F16" s="1176">
        <f t="shared" si="1"/>
        <v>52032.681167786934</v>
      </c>
      <c r="G16" s="1176">
        <f t="shared" si="1"/>
        <v>54593.173289876875</v>
      </c>
      <c r="H16" s="1176">
        <f t="shared" si="1"/>
        <v>57190.068366453626</v>
      </c>
      <c r="I16" s="1176">
        <f t="shared" si="1"/>
        <v>67535.144369734189</v>
      </c>
      <c r="J16" s="1176">
        <f t="shared" si="1"/>
        <v>82436.231291863834</v>
      </c>
      <c r="K16" s="1176">
        <f t="shared" si="1"/>
        <v>95901.652692028627</v>
      </c>
      <c r="L16" s="1176">
        <f t="shared" si="1"/>
        <v>89069.339900929248</v>
      </c>
      <c r="M16" s="1176">
        <f t="shared" si="1"/>
        <v>78998.633730252768</v>
      </c>
      <c r="N16" s="1176">
        <f t="shared" si="1"/>
        <v>73311.104025815381</v>
      </c>
      <c r="O16" s="1176">
        <f t="shared" si="1"/>
        <v>56119.409468720049</v>
      </c>
      <c r="P16" s="1386">
        <f>SUM(P10:P15)</f>
        <v>810129.61943304387</v>
      </c>
      <c r="Q16" s="1303"/>
      <c r="R16" s="259"/>
      <c r="S16" s="259"/>
      <c r="T16" s="259"/>
    </row>
    <row r="17" spans="1:20" ht="13.5">
      <c r="A17">
        <v>456</v>
      </c>
      <c r="B17"/>
      <c r="C17" s="105" t="s">
        <v>430</v>
      </c>
      <c r="D17" s="1099"/>
      <c r="E17" s="1099"/>
      <c r="F17" s="1099"/>
      <c r="G17" s="1099"/>
      <c r="H17" s="1099"/>
      <c r="I17" s="1099"/>
      <c r="J17" s="1099"/>
      <c r="K17" s="1099"/>
      <c r="L17" s="1099"/>
      <c r="M17" s="1099"/>
      <c r="N17" s="1099"/>
      <c r="O17" s="1099"/>
      <c r="P17" s="1385">
        <f>SUM(D17:O17)</f>
        <v>0</v>
      </c>
      <c r="Q17" s="1303"/>
      <c r="R17" s="259"/>
      <c r="S17" s="259"/>
      <c r="T17" s="259"/>
    </row>
    <row r="18" spans="1:20" ht="14.25" thickBot="1">
      <c r="A18"/>
      <c r="B18"/>
      <c r="C18" s="943" t="s">
        <v>1244</v>
      </c>
      <c r="D18" s="1387">
        <f>SUM(D16:D17)</f>
        <v>53229.455949940297</v>
      </c>
      <c r="E18" s="1387">
        <f t="shared" ref="E18:O18" si="2">SUM(E16:E17)</f>
        <v>49712.725179641988</v>
      </c>
      <c r="F18" s="1387">
        <f t="shared" si="2"/>
        <v>52032.681167786934</v>
      </c>
      <c r="G18" s="1387">
        <f t="shared" si="2"/>
        <v>54593.173289876875</v>
      </c>
      <c r="H18" s="1387">
        <f t="shared" si="2"/>
        <v>57190.068366453626</v>
      </c>
      <c r="I18" s="1387">
        <f t="shared" si="2"/>
        <v>67535.144369734189</v>
      </c>
      <c r="J18" s="1387">
        <f t="shared" si="2"/>
        <v>82436.231291863834</v>
      </c>
      <c r="K18" s="1387">
        <f t="shared" si="2"/>
        <v>95901.652692028627</v>
      </c>
      <c r="L18" s="1387">
        <f t="shared" si="2"/>
        <v>89069.339900929248</v>
      </c>
      <c r="M18" s="1387">
        <f t="shared" si="2"/>
        <v>78998.633730252768</v>
      </c>
      <c r="N18" s="1387">
        <f t="shared" si="2"/>
        <v>73311.104025815381</v>
      </c>
      <c r="O18" s="1387">
        <f t="shared" si="2"/>
        <v>56119.409468720049</v>
      </c>
      <c r="P18" s="1388">
        <f>SUM(P16:P17)</f>
        <v>810129.61943304387</v>
      </c>
      <c r="Q18" s="1303"/>
      <c r="R18" s="1304"/>
      <c r="S18" s="259"/>
      <c r="T18" s="259"/>
    </row>
    <row r="19" spans="1:20" ht="13.5" thickTop="1">
      <c r="A19"/>
      <c r="B19"/>
      <c r="C19" s="105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2"/>
      <c r="Q19" s="1303"/>
      <c r="R19" s="1304"/>
      <c r="S19" s="259"/>
      <c r="T19" s="259"/>
    </row>
    <row r="20" spans="1:20">
      <c r="A20"/>
      <c r="B20"/>
      <c r="C20" s="105" t="s">
        <v>431</v>
      </c>
      <c r="D20" s="296">
        <v>1739665</v>
      </c>
      <c r="E20" s="296">
        <v>1648131</v>
      </c>
      <c r="F20" s="296">
        <v>1690523</v>
      </c>
      <c r="G20" s="296">
        <v>1701706</v>
      </c>
      <c r="H20" s="296">
        <v>1647401</v>
      </c>
      <c r="I20" s="296">
        <v>1831551</v>
      </c>
      <c r="J20" s="296">
        <v>2073398</v>
      </c>
      <c r="K20" s="296">
        <v>2438265</v>
      </c>
      <c r="L20" s="296">
        <v>2383076</v>
      </c>
      <c r="M20" s="296">
        <v>2055226</v>
      </c>
      <c r="N20" s="296">
        <v>2102831</v>
      </c>
      <c r="O20" s="296">
        <v>1860671</v>
      </c>
      <c r="P20" s="564">
        <f>SUM(D20:O20)</f>
        <v>23172444</v>
      </c>
      <c r="Q20" s="1303"/>
      <c r="R20" s="1304"/>
      <c r="S20" s="259"/>
      <c r="T20" s="259"/>
    </row>
    <row r="21" spans="1:20">
      <c r="A21" s="300">
        <v>6.8000000000000005E-2</v>
      </c>
      <c r="B21"/>
      <c r="C21" s="105" t="s">
        <v>432</v>
      </c>
      <c r="D21" s="296">
        <v>1621367.7799999998</v>
      </c>
      <c r="E21" s="296">
        <v>1536058.0919999999</v>
      </c>
      <c r="F21" s="296">
        <v>1575567.436</v>
      </c>
      <c r="G21" s="296">
        <v>1585989.9919999999</v>
      </c>
      <c r="H21" s="296">
        <v>1535377.7319999998</v>
      </c>
      <c r="I21" s="296">
        <v>1707005.5319999999</v>
      </c>
      <c r="J21" s="296">
        <v>1932406.936</v>
      </c>
      <c r="K21" s="296">
        <v>2272462.98</v>
      </c>
      <c r="L21" s="296">
        <v>2221026.8319999999</v>
      </c>
      <c r="M21" s="296">
        <v>1915470.632</v>
      </c>
      <c r="N21" s="296">
        <v>1959838.4919999999</v>
      </c>
      <c r="O21" s="296">
        <v>1734145.372</v>
      </c>
      <c r="P21" s="564">
        <f>SUM(D21:O21)</f>
        <v>21596717.808000002</v>
      </c>
      <c r="Q21" s="1303"/>
      <c r="R21" s="1304"/>
      <c r="S21" s="259"/>
      <c r="T21" s="259"/>
    </row>
    <row r="22" spans="1:20">
      <c r="A22"/>
      <c r="B22"/>
      <c r="C2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97" t="s">
        <v>433</v>
      </c>
      <c r="P22" s="564"/>
      <c r="Q22" s="1303"/>
      <c r="R22" s="1304"/>
      <c r="S22" s="259"/>
      <c r="T22" s="259"/>
    </row>
    <row r="23" spans="1:20">
      <c r="A23"/>
      <c r="B23"/>
      <c r="C23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8" t="s">
        <v>434</v>
      </c>
      <c r="P23" s="565">
        <f>P18</f>
        <v>810129.61943304387</v>
      </c>
      <c r="Q23" s="1303"/>
      <c r="R23" s="1304"/>
      <c r="S23" s="259"/>
      <c r="T23" s="259"/>
    </row>
    <row r="24" spans="1:20">
      <c r="A24"/>
      <c r="B24"/>
      <c r="C24"/>
      <c r="D24" s="296"/>
      <c r="E24" s="296"/>
      <c r="F24" s="296"/>
      <c r="G24" s="296"/>
      <c r="H24" s="296"/>
      <c r="I24" s="296"/>
      <c r="J24" s="730">
        <f>'JHS-22'!$H$23</f>
        <v>6.7099999999999993E-2</v>
      </c>
      <c r="K24" s="296"/>
      <c r="L24" s="296"/>
      <c r="M24" s="298" t="s">
        <v>300</v>
      </c>
      <c r="N24" s="533">
        <v>0.5</v>
      </c>
      <c r="O24" s="515">
        <v>4218.9813489270746</v>
      </c>
      <c r="P24" s="566"/>
      <c r="Q24" s="1303"/>
      <c r="R24" s="1304"/>
      <c r="S24" s="259"/>
      <c r="T24" s="259"/>
    </row>
    <row r="25" spans="1:20">
      <c r="A25"/>
      <c r="B25"/>
      <c r="C25"/>
      <c r="D25" s="296"/>
      <c r="E25" s="296"/>
      <c r="F25" s="296"/>
      <c r="G25" s="296"/>
      <c r="H25" s="296"/>
      <c r="I25" s="296"/>
      <c r="J25" s="296"/>
      <c r="K25" s="296"/>
      <c r="L25" s="296"/>
      <c r="M25" s="298" t="s">
        <v>435</v>
      </c>
      <c r="N25" s="533">
        <v>1.2E-2</v>
      </c>
      <c r="O25" s="515">
        <v>155127.34214560402</v>
      </c>
      <c r="P25" s="567"/>
      <c r="Q25" s="1303"/>
      <c r="R25" s="1304"/>
      <c r="S25" s="259"/>
      <c r="T25" s="259"/>
    </row>
    <row r="26" spans="1:20" ht="15.75">
      <c r="A26"/>
      <c r="B26"/>
      <c r="C26"/>
      <c r="D26" s="296"/>
      <c r="E26" s="1504" t="s">
        <v>1491</v>
      </c>
      <c r="F26" s="1505"/>
      <c r="G26" s="1505"/>
      <c r="H26" s="296"/>
      <c r="I26" s="296"/>
      <c r="J26" s="296"/>
      <c r="K26" s="296"/>
      <c r="L26" s="296"/>
      <c r="M26" s="298" t="s">
        <v>436</v>
      </c>
      <c r="N26" s="533">
        <v>0.03</v>
      </c>
      <c r="O26" s="515">
        <v>37714.421848345133</v>
      </c>
      <c r="P26" s="568"/>
      <c r="Q26" s="1303"/>
      <c r="R26" s="1304"/>
      <c r="S26" s="259"/>
      <c r="T26" s="259"/>
    </row>
    <row r="27" spans="1:20" ht="13.5" thickBot="1">
      <c r="A27"/>
      <c r="B27"/>
      <c r="C27"/>
      <c r="D27" s="296"/>
      <c r="E27" s="296"/>
      <c r="F27" s="296"/>
      <c r="G27" s="296"/>
      <c r="H27" s="296"/>
      <c r="I27" s="296"/>
      <c r="J27" s="296"/>
      <c r="K27" s="296"/>
      <c r="L27" s="296"/>
      <c r="M27" s="267"/>
      <c r="N27" s="267"/>
      <c r="O27" s="297" t="s">
        <v>299</v>
      </c>
      <c r="P27" s="427">
        <f>SUM(P23:P26)</f>
        <v>810129.61943304387</v>
      </c>
      <c r="Q27" s="1303"/>
      <c r="R27" s="1304"/>
      <c r="S27" s="259"/>
      <c r="T27" s="259"/>
    </row>
    <row r="28" spans="1:20" ht="13.5" thickTop="1">
      <c r="A28"/>
      <c r="B28"/>
      <c r="C28"/>
      <c r="D28" s="296"/>
      <c r="E28" s="296"/>
      <c r="F28" s="296"/>
      <c r="G28" s="296"/>
      <c r="H28" s="296"/>
      <c r="I28" s="296"/>
      <c r="J28" s="296"/>
      <c r="K28" s="296"/>
      <c r="L28" s="296"/>
      <c r="M28" s="267"/>
      <c r="N28" s="267"/>
      <c r="O28" s="297" t="s">
        <v>437</v>
      </c>
      <c r="P28" s="944">
        <f>'ProdO&amp;M'!H58/1000</f>
        <v>133613.38529825685</v>
      </c>
      <c r="Q28" s="1303"/>
      <c r="R28" s="1304"/>
      <c r="S28" s="259"/>
      <c r="T28" s="259"/>
    </row>
    <row r="29" spans="1:20" ht="13.5" thickBot="1">
      <c r="A29"/>
      <c r="B29"/>
      <c r="C29"/>
      <c r="D29" s="296"/>
      <c r="E29" s="296"/>
      <c r="F29" s="296"/>
      <c r="G29" s="296"/>
      <c r="H29" s="296"/>
      <c r="I29" s="296"/>
      <c r="J29" s="296"/>
      <c r="K29" s="296"/>
      <c r="L29" s="264"/>
      <c r="M29" s="267"/>
      <c r="N29" s="267"/>
      <c r="O29" s="297" t="s">
        <v>1180</v>
      </c>
      <c r="P29" s="945">
        <v>1419.635</v>
      </c>
      <c r="Q29" s="1303"/>
      <c r="R29" s="1304"/>
      <c r="S29" s="259"/>
      <c r="T29" s="259"/>
    </row>
    <row r="30" spans="1:20" ht="13.5" thickBot="1">
      <c r="A30"/>
      <c r="B30"/>
      <c r="C30" s="259"/>
      <c r="D30" s="296"/>
      <c r="E30" s="296"/>
      <c r="F30" s="296"/>
      <c r="G30" s="296"/>
      <c r="H30" s="296"/>
      <c r="I30" s="296"/>
      <c r="J30" s="296"/>
      <c r="K30" s="296"/>
      <c r="L30" s="296"/>
      <c r="M30" s="267"/>
      <c r="N30" s="267"/>
      <c r="O30" s="297" t="s">
        <v>1245</v>
      </c>
      <c r="P30" s="946">
        <f>SUM(P27:P29)</f>
        <v>945162.63973130076</v>
      </c>
      <c r="Q30" s="1303"/>
      <c r="R30" s="1305"/>
      <c r="S30" s="259"/>
      <c r="T30" s="259"/>
    </row>
    <row r="31" spans="1:20">
      <c r="A31" s="299"/>
      <c r="B31" s="261"/>
      <c r="C31" s="262"/>
      <c r="D31" s="296"/>
      <c r="E31" s="296"/>
      <c r="F31" s="296"/>
      <c r="G31" s="296"/>
      <c r="H31" s="296"/>
      <c r="I31" s="267"/>
      <c r="J31" s="267"/>
      <c r="K31" s="297"/>
      <c r="L31" s="290"/>
      <c r="M31" s="259"/>
      <c r="N31" s="259"/>
      <c r="O31" s="259"/>
      <c r="P31" s="7" t="s">
        <v>1008</v>
      </c>
    </row>
    <row r="32" spans="1:20" s="265" customFormat="1">
      <c r="A32" s="266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7" s="265" customFormat="1">
      <c r="A33" s="266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7" s="265" customFormat="1">
      <c r="A34" s="266"/>
      <c r="Q34" s="562"/>
    </row>
    <row r="35" spans="1:17" s="265" customFormat="1">
      <c r="A35" s="266"/>
      <c r="Q35" s="562"/>
    </row>
    <row r="36" spans="1:17" s="265" customFormat="1">
      <c r="A36" s="266"/>
    </row>
    <row r="37" spans="1:17" s="265" customFormat="1">
      <c r="A37" s="266"/>
    </row>
    <row r="38" spans="1:17" s="265" customFormat="1">
      <c r="A38" s="266"/>
    </row>
    <row r="39" spans="1:17" s="265" customFormat="1">
      <c r="A39" s="266"/>
    </row>
    <row r="40" spans="1:17" s="265" customFormat="1">
      <c r="A40" s="266"/>
    </row>
    <row r="41" spans="1:17" s="265" customFormat="1">
      <c r="A41" s="266"/>
    </row>
    <row r="42" spans="1:17" s="265" customFormat="1">
      <c r="A42" s="266"/>
    </row>
    <row r="43" spans="1:17" s="265" customFormat="1">
      <c r="A43" s="266"/>
    </row>
    <row r="44" spans="1:17" s="265" customFormat="1">
      <c r="A44" s="266"/>
    </row>
    <row r="45" spans="1:17" s="265" customFormat="1">
      <c r="A45" s="266"/>
    </row>
    <row r="46" spans="1:17" s="265" customFormat="1">
      <c r="A46" s="266"/>
    </row>
    <row r="47" spans="1:17" s="265" customFormat="1">
      <c r="A47" s="266"/>
    </row>
    <row r="48" spans="1:17" s="265" customFormat="1">
      <c r="A48" s="266"/>
    </row>
    <row r="49" spans="1:1" s="265" customFormat="1">
      <c r="A49" s="266"/>
    </row>
    <row r="50" spans="1:1" s="265" customFormat="1">
      <c r="A50" s="266"/>
    </row>
    <row r="51" spans="1:1" s="265" customFormat="1">
      <c r="A51" s="266"/>
    </row>
    <row r="52" spans="1:1" s="265" customFormat="1">
      <c r="A52" s="266"/>
    </row>
    <row r="53" spans="1:1" s="265" customFormat="1">
      <c r="A53" s="266"/>
    </row>
    <row r="54" spans="1:1" s="265" customFormat="1">
      <c r="A54" s="266"/>
    </row>
    <row r="55" spans="1:1" s="265" customFormat="1">
      <c r="A55" s="266"/>
    </row>
    <row r="56" spans="1:1" s="265" customFormat="1">
      <c r="A56" s="266"/>
    </row>
    <row r="57" spans="1:1" s="265" customFormat="1">
      <c r="A57" s="266"/>
    </row>
    <row r="58" spans="1:1" s="265" customFormat="1">
      <c r="A58" s="266"/>
    </row>
    <row r="59" spans="1:1" s="265" customFormat="1">
      <c r="A59" s="266"/>
    </row>
    <row r="60" spans="1:1" s="265" customFormat="1">
      <c r="A60" s="266"/>
    </row>
    <row r="61" spans="1:1" s="265" customFormat="1">
      <c r="A61" s="266"/>
    </row>
    <row r="62" spans="1:1" s="265" customFormat="1">
      <c r="A62" s="266"/>
    </row>
    <row r="63" spans="1:1" s="265" customFormat="1">
      <c r="A63" s="266"/>
    </row>
    <row r="64" spans="1:1" s="265" customFormat="1">
      <c r="A64" s="266"/>
    </row>
    <row r="65" spans="1:1" s="265" customFormat="1">
      <c r="A65" s="266"/>
    </row>
  </sheetData>
  <mergeCells count="6">
    <mergeCell ref="E26:G26"/>
    <mergeCell ref="C2:P2"/>
    <mergeCell ref="C3:P3"/>
    <mergeCell ref="C4:P4"/>
    <mergeCell ref="C5:P5"/>
    <mergeCell ref="C6:P6"/>
  </mergeCells>
  <phoneticPr fontId="36" type="noConversion"/>
  <conditionalFormatting sqref="D19:O19">
    <cfRule type="cellIs" dxfId="0" priority="1" stopIfTrue="1" operator="equal">
      <formula>"Error"</formula>
    </cfRule>
  </conditionalFormatting>
  <printOptions horizontalCentered="1"/>
  <pageMargins left="0.5" right="0.5" top="1" bottom="0.25" header="0.5" footer="0.5"/>
  <pageSetup scale="87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18" sqref="B18:D18"/>
    </sheetView>
  </sheetViews>
  <sheetFormatPr defaultRowHeight="12.75"/>
  <cols>
    <col min="1" max="1" width="30.83203125" style="317" customWidth="1"/>
    <col min="2" max="6" width="17.1640625" style="317" bestFit="1" customWidth="1"/>
    <col min="7" max="16384" width="9.33203125" style="317"/>
  </cols>
  <sheetData>
    <row r="1" spans="1:6">
      <c r="A1" s="105" t="s">
        <v>1007</v>
      </c>
      <c r="B1" s="105"/>
      <c r="C1" s="105"/>
      <c r="D1" s="105"/>
      <c r="E1" s="105"/>
      <c r="F1" s="105"/>
    </row>
    <row r="2" spans="1:6">
      <c r="A2" s="105"/>
      <c r="B2" s="756"/>
      <c r="C2" s="756"/>
      <c r="D2" s="756"/>
      <c r="E2" s="756"/>
      <c r="F2" s="756"/>
    </row>
    <row r="3" spans="1:6">
      <c r="A3" s="105"/>
      <c r="B3" s="756"/>
      <c r="C3" s="756"/>
      <c r="D3" s="756" t="s">
        <v>1356</v>
      </c>
      <c r="E3" s="756"/>
      <c r="F3" s="756"/>
    </row>
    <row r="4" spans="1:6">
      <c r="A4" s="105"/>
      <c r="B4" s="756"/>
      <c r="C4" s="756" t="s">
        <v>1010</v>
      </c>
      <c r="D4" s="756" t="s">
        <v>206</v>
      </c>
      <c r="E4" s="756"/>
      <c r="F4" s="756"/>
    </row>
    <row r="5" spans="1:6">
      <c r="A5" s="105"/>
      <c r="B5" s="756" t="s">
        <v>1009</v>
      </c>
      <c r="C5" s="756" t="s">
        <v>1011</v>
      </c>
      <c r="D5" s="756" t="s">
        <v>940</v>
      </c>
      <c r="E5" s="756" t="s">
        <v>1015</v>
      </c>
      <c r="F5" s="756" t="s">
        <v>1016</v>
      </c>
    </row>
    <row r="6" spans="1:6">
      <c r="A6" s="757" t="s">
        <v>1006</v>
      </c>
      <c r="B6" s="1058" t="s">
        <v>1392</v>
      </c>
      <c r="C6" s="757" t="s">
        <v>1012</v>
      </c>
      <c r="D6" s="1050" t="s">
        <v>1357</v>
      </c>
      <c r="E6" s="1058" t="s">
        <v>1393</v>
      </c>
      <c r="F6" s="1058" t="s">
        <v>1394</v>
      </c>
    </row>
    <row r="7" spans="1:6">
      <c r="A7" s="756" t="s">
        <v>784</v>
      </c>
      <c r="B7" s="756" t="s">
        <v>785</v>
      </c>
      <c r="C7" s="756" t="s">
        <v>786</v>
      </c>
      <c r="D7" s="756" t="s">
        <v>1014</v>
      </c>
      <c r="E7" s="756" t="s">
        <v>788</v>
      </c>
      <c r="F7" s="756" t="s">
        <v>789</v>
      </c>
    </row>
    <row r="8" spans="1:6">
      <c r="B8" s="105"/>
      <c r="C8" s="105"/>
      <c r="D8" s="105"/>
      <c r="E8" s="105"/>
      <c r="F8" s="105"/>
    </row>
    <row r="9" spans="1:6">
      <c r="A9" s="759" t="s">
        <v>1002</v>
      </c>
      <c r="B9" s="736">
        <v>5385018</v>
      </c>
      <c r="C9" s="736"/>
      <c r="D9" s="736">
        <v>5385018</v>
      </c>
      <c r="E9" s="736"/>
      <c r="F9" s="736">
        <f>D9</f>
        <v>5385018</v>
      </c>
    </row>
    <row r="10" spans="1:6">
      <c r="A10" s="759" t="s">
        <v>1003</v>
      </c>
      <c r="B10" s="745">
        <f>6220716-5385018</f>
        <v>835698</v>
      </c>
      <c r="C10" s="745"/>
      <c r="D10" s="745">
        <v>835698</v>
      </c>
      <c r="E10" s="745">
        <f>D10</f>
        <v>835698</v>
      </c>
      <c r="F10" s="745"/>
    </row>
    <row r="11" spans="1:6">
      <c r="A11" s="759" t="s">
        <v>1004</v>
      </c>
      <c r="B11" s="745">
        <v>6203531.3790121749</v>
      </c>
      <c r="C11" s="745"/>
      <c r="D11" s="745">
        <v>6203531.3790121749</v>
      </c>
      <c r="E11" s="745">
        <f>D11</f>
        <v>6203531.3790121749</v>
      </c>
      <c r="F11" s="745"/>
    </row>
    <row r="12" spans="1:6">
      <c r="A12" s="759" t="s">
        <v>1005</v>
      </c>
      <c r="B12" s="745">
        <v>-2917380.6696210178</v>
      </c>
      <c r="C12" s="745">
        <v>-2047434.7452264968</v>
      </c>
      <c r="D12" s="745">
        <v>-4964815.4148475146</v>
      </c>
      <c r="E12" s="745"/>
      <c r="F12" s="745">
        <f>D12</f>
        <v>-4964815.4148475146</v>
      </c>
    </row>
    <row r="13" spans="1:6" ht="13.5" thickBot="1">
      <c r="A13" s="759" t="s">
        <v>1013</v>
      </c>
      <c r="B13" s="760">
        <f>SUM(B9:B12)</f>
        <v>9506866.7093911581</v>
      </c>
      <c r="C13" s="760">
        <f>SUM(C9:C12)</f>
        <v>-2047434.7452264968</v>
      </c>
      <c r="D13" s="760">
        <f>SUM(D9:D12)</f>
        <v>7459431.9641646603</v>
      </c>
      <c r="E13" s="760">
        <f>SUM(E9:E12)</f>
        <v>7039229.3790121749</v>
      </c>
      <c r="F13" s="760">
        <f>SUM(F9:F12)</f>
        <v>420202.58515248541</v>
      </c>
    </row>
    <row r="14" spans="1:6" ht="13.5" thickTop="1">
      <c r="A14" s="105"/>
      <c r="B14" s="745"/>
      <c r="C14" s="745"/>
      <c r="D14" s="745"/>
      <c r="E14" s="745"/>
      <c r="F14" s="745"/>
    </row>
    <row r="18" spans="2:4" ht="15.75">
      <c r="B18" s="1504" t="s">
        <v>1491</v>
      </c>
      <c r="C18" s="1505"/>
      <c r="D18" s="1505"/>
    </row>
  </sheetData>
  <mergeCells count="1">
    <mergeCell ref="B18:D18"/>
  </mergeCells>
  <phoneticPr fontId="0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8"/>
  <sheetViews>
    <sheetView workbookViewId="0">
      <selection activeCell="B36" sqref="B36:D36"/>
    </sheetView>
  </sheetViews>
  <sheetFormatPr defaultColWidth="10.6640625" defaultRowHeight="12.75"/>
  <cols>
    <col min="1" max="1" width="8.1640625" style="235" bestFit="1" customWidth="1"/>
    <col min="2" max="2" width="80.6640625" style="487" customWidth="1"/>
    <col min="3" max="3" width="17.6640625" style="487" customWidth="1"/>
    <col min="4" max="4" width="18.5" style="488" customWidth="1"/>
    <col min="5" max="5" width="2" style="488" customWidth="1"/>
    <col min="6" max="6" width="16.1640625" style="488" bestFit="1" customWidth="1"/>
    <col min="7" max="7" width="16.33203125" style="488" bestFit="1" customWidth="1"/>
    <col min="8" max="8" width="16.33203125" style="488" customWidth="1"/>
    <col min="9" max="9" width="12" style="487" bestFit="1" customWidth="1"/>
    <col min="10" max="10" width="16.1640625" style="236" bestFit="1" customWidth="1"/>
    <col min="11" max="16384" width="10.6640625" style="235"/>
  </cols>
  <sheetData>
    <row r="1" spans="1:8">
      <c r="A1" s="336"/>
      <c r="G1" s="237"/>
      <c r="H1" s="237"/>
    </row>
    <row r="2" spans="1:8">
      <c r="A2" s="238"/>
      <c r="B2" s="487" t="s">
        <v>1033</v>
      </c>
    </row>
    <row r="3" spans="1:8">
      <c r="A3" s="238"/>
      <c r="B3" s="487" t="s">
        <v>1034</v>
      </c>
    </row>
    <row r="4" spans="1:8">
      <c r="A4" s="238"/>
      <c r="B4" s="487" t="s">
        <v>1035</v>
      </c>
    </row>
    <row r="5" spans="1:8">
      <c r="A5" s="238"/>
      <c r="B5" s="489" t="s">
        <v>1240</v>
      </c>
    </row>
    <row r="6" spans="1:8">
      <c r="A6" s="239"/>
      <c r="B6" s="490"/>
      <c r="C6" s="490"/>
      <c r="D6" s="491"/>
      <c r="E6" s="491"/>
      <c r="F6" s="491"/>
      <c r="G6" s="491"/>
      <c r="H6" s="491"/>
    </row>
    <row r="7" spans="1:8">
      <c r="A7" s="240"/>
      <c r="B7" s="492"/>
      <c r="C7" s="492"/>
      <c r="D7" s="493"/>
      <c r="E7" s="493"/>
      <c r="F7" s="493"/>
      <c r="G7" s="493"/>
      <c r="H7" s="493"/>
    </row>
    <row r="8" spans="1:8">
      <c r="A8" s="238"/>
      <c r="D8" s="494" t="s">
        <v>1036</v>
      </c>
      <c r="E8" s="495"/>
      <c r="F8" s="494" t="s">
        <v>844</v>
      </c>
      <c r="G8" s="494" t="s">
        <v>601</v>
      </c>
      <c r="H8" s="494" t="s">
        <v>603</v>
      </c>
    </row>
    <row r="9" spans="1:8">
      <c r="A9" s="238"/>
      <c r="D9" s="495"/>
      <c r="E9" s="495"/>
      <c r="F9" s="495"/>
      <c r="G9" s="495"/>
      <c r="H9" s="495"/>
    </row>
    <row r="10" spans="1:8">
      <c r="A10" s="583"/>
      <c r="B10" s="496" t="s">
        <v>276</v>
      </c>
      <c r="D10" s="689">
        <f>'09-10'!F26</f>
        <v>618282</v>
      </c>
      <c r="E10" s="690"/>
      <c r="F10" s="689">
        <v>0</v>
      </c>
      <c r="G10" s="689">
        <f>D10</f>
        <v>618282</v>
      </c>
      <c r="H10" s="689">
        <f>SUM(F10:G10)</f>
        <v>618282</v>
      </c>
    </row>
    <row r="11" spans="1:8">
      <c r="A11" s="583"/>
      <c r="B11" s="489"/>
      <c r="D11" s="689"/>
      <c r="E11" s="690"/>
      <c r="F11" s="947"/>
      <c r="G11" s="947"/>
      <c r="H11" s="947"/>
    </row>
    <row r="12" spans="1:8">
      <c r="A12" s="583"/>
      <c r="B12" s="496" t="s">
        <v>275</v>
      </c>
      <c r="D12" s="691">
        <f>'09-10'!D26</f>
        <v>27412784</v>
      </c>
      <c r="E12" s="692"/>
      <c r="F12" s="390"/>
      <c r="G12" s="390"/>
      <c r="H12" s="390"/>
    </row>
    <row r="13" spans="1:8">
      <c r="A13" s="583"/>
      <c r="B13" s="497"/>
      <c r="D13" s="692"/>
      <c r="E13" s="692"/>
      <c r="F13" s="390"/>
      <c r="G13" s="390"/>
      <c r="H13" s="390"/>
    </row>
    <row r="14" spans="1:8">
      <c r="A14" s="583"/>
      <c r="B14" s="499" t="s">
        <v>273</v>
      </c>
      <c r="C14" s="948">
        <f>'09-10'!D23</f>
        <v>0.26152610721221398</v>
      </c>
      <c r="D14" s="390"/>
      <c r="E14" s="692"/>
      <c r="F14" s="390">
        <f>D12*'09-10'!D23</f>
        <v>7169158.6873692637</v>
      </c>
      <c r="G14" s="390"/>
      <c r="H14" s="390">
        <f>SUM(F14:G14)</f>
        <v>7169158.6873692637</v>
      </c>
    </row>
    <row r="15" spans="1:8">
      <c r="A15" s="583"/>
      <c r="B15" s="499"/>
      <c r="C15" s="498"/>
      <c r="D15" s="390"/>
      <c r="E15" s="692"/>
      <c r="F15" s="390"/>
      <c r="G15" s="390"/>
      <c r="H15" s="390"/>
    </row>
    <row r="16" spans="1:8">
      <c r="A16" s="583"/>
      <c r="B16" s="499" t="s">
        <v>274</v>
      </c>
      <c r="C16" s="948">
        <f>'09-10'!D24</f>
        <v>3.1611819617164707E-3</v>
      </c>
      <c r="D16" s="390"/>
      <c r="E16" s="692"/>
      <c r="F16" s="390"/>
      <c r="G16" s="693">
        <f>D12*'09-10'!D24</f>
        <v>86656.798301229879</v>
      </c>
      <c r="H16" s="693">
        <f>SUM(F16:G16)</f>
        <v>86656.798301229879</v>
      </c>
    </row>
    <row r="17" spans="1:9">
      <c r="A17" s="583"/>
      <c r="B17" s="500"/>
      <c r="D17" s="390"/>
      <c r="E17" s="692"/>
      <c r="F17" s="390"/>
      <c r="G17" s="693"/>
      <c r="H17" s="693">
        <f>SUM(F17:G17)</f>
        <v>0</v>
      </c>
    </row>
    <row r="18" spans="1:9">
      <c r="A18" s="583"/>
      <c r="B18" s="501" t="s">
        <v>1037</v>
      </c>
      <c r="D18" s="390"/>
      <c r="E18" s="692"/>
      <c r="F18" s="949">
        <f>SUM(F14:F17)</f>
        <v>7169158.6873692637</v>
      </c>
      <c r="G18" s="949">
        <f>SUM(G14:G17)</f>
        <v>86656.798301229879</v>
      </c>
      <c r="H18" s="949">
        <f>SUM(H14:H17)</f>
        <v>7255815.4856704939</v>
      </c>
    </row>
    <row r="19" spans="1:9">
      <c r="A19" s="583"/>
      <c r="B19" s="497"/>
      <c r="D19" s="542"/>
      <c r="E19" s="950"/>
      <c r="F19" s="951"/>
      <c r="G19" s="952"/>
      <c r="H19" s="952"/>
      <c r="I19" s="502"/>
    </row>
    <row r="20" spans="1:9">
      <c r="A20" s="583"/>
      <c r="B20" s="497" t="s">
        <v>1029</v>
      </c>
      <c r="D20" s="542"/>
      <c r="E20" s="950"/>
      <c r="F20" s="542"/>
      <c r="G20" s="542"/>
      <c r="H20" s="542"/>
    </row>
    <row r="21" spans="1:9">
      <c r="A21" s="583"/>
      <c r="B21" s="496" t="s">
        <v>301</v>
      </c>
      <c r="D21" s="390">
        <f>'09-10'!H26</f>
        <v>9294613</v>
      </c>
      <c r="E21" s="950"/>
      <c r="F21" s="542"/>
      <c r="G21" s="542"/>
      <c r="H21" s="542"/>
    </row>
    <row r="22" spans="1:9">
      <c r="A22" s="583"/>
      <c r="B22" s="503" t="s">
        <v>302</v>
      </c>
      <c r="D22" s="390">
        <f>'09-10'!H28</f>
        <v>-6575</v>
      </c>
      <c r="E22" s="391"/>
      <c r="F22" s="542"/>
      <c r="G22" s="542"/>
      <c r="H22" s="542"/>
    </row>
    <row r="23" spans="1:9">
      <c r="A23" s="583"/>
      <c r="B23" s="504" t="s">
        <v>303</v>
      </c>
      <c r="C23" s="505"/>
      <c r="D23" s="691">
        <f>'09-10'!H29</f>
        <v>-1366126</v>
      </c>
      <c r="E23" s="950"/>
      <c r="F23" s="542"/>
      <c r="G23" s="542"/>
      <c r="H23" s="542"/>
    </row>
    <row r="24" spans="1:9">
      <c r="A24" s="583"/>
      <c r="B24" s="504" t="s">
        <v>304</v>
      </c>
      <c r="C24" s="505"/>
      <c r="D24" s="692">
        <f>SUM(D21:D23)</f>
        <v>7921912</v>
      </c>
      <c r="E24" s="950"/>
      <c r="F24" s="542"/>
      <c r="G24" s="542"/>
      <c r="H24" s="542"/>
    </row>
    <row r="25" spans="1:9">
      <c r="A25" s="583"/>
      <c r="B25" s="504"/>
      <c r="C25" s="505"/>
      <c r="D25" s="692"/>
      <c r="E25" s="950"/>
      <c r="F25" s="542"/>
      <c r="G25" s="542"/>
      <c r="H25" s="542"/>
    </row>
    <row r="26" spans="1:9">
      <c r="A26" s="583"/>
      <c r="B26" s="504" t="s">
        <v>1303</v>
      </c>
      <c r="C26" s="505"/>
      <c r="D26" s="950"/>
      <c r="E26" s="950"/>
      <c r="F26" s="542"/>
      <c r="G26" s="542"/>
      <c r="H26" s="542"/>
    </row>
    <row r="27" spans="1:9">
      <c r="A27" s="583"/>
      <c r="B27" s="506" t="s">
        <v>0</v>
      </c>
      <c r="C27" s="542"/>
      <c r="D27" s="542"/>
      <c r="E27" s="950"/>
      <c r="F27" s="390"/>
      <c r="G27" s="390">
        <v>0</v>
      </c>
      <c r="H27" s="390">
        <f>SUM(F27:G27)</f>
        <v>0</v>
      </c>
    </row>
    <row r="28" spans="1:9">
      <c r="A28" s="583"/>
      <c r="B28" s="506" t="s">
        <v>601</v>
      </c>
      <c r="C28" s="950"/>
      <c r="D28" s="692">
        <f>D24-D29-D23</f>
        <v>2237628.376934466</v>
      </c>
      <c r="E28" s="692"/>
      <c r="F28" s="390"/>
      <c r="G28" s="390">
        <f>D28</f>
        <v>2237628.376934466</v>
      </c>
      <c r="H28" s="390">
        <f>SUM(F28:G28)</f>
        <v>2237628.376934466</v>
      </c>
    </row>
    <row r="29" spans="1:9">
      <c r="A29" s="583"/>
      <c r="B29" s="506" t="s">
        <v>277</v>
      </c>
      <c r="C29" s="948">
        <f>'09-10'!H23</f>
        <v>0.88998837945505249</v>
      </c>
      <c r="D29" s="390">
        <f>'09-10'!H33</f>
        <v>7050409.623065534</v>
      </c>
      <c r="E29" s="692"/>
      <c r="F29" s="390">
        <f>D29</f>
        <v>7050409.623065534</v>
      </c>
      <c r="G29" s="390"/>
      <c r="H29" s="390">
        <f>SUM(F29:G29)</f>
        <v>7050409.623065534</v>
      </c>
    </row>
    <row r="30" spans="1:9">
      <c r="A30" s="583"/>
      <c r="C30" s="507"/>
      <c r="D30" s="541"/>
      <c r="E30" s="950"/>
      <c r="F30" s="541">
        <f>D30*87.86%</f>
        <v>0</v>
      </c>
      <c r="G30" s="541">
        <f>D30-F30</f>
        <v>0</v>
      </c>
      <c r="H30" s="541">
        <f>SUM(F30:G30)</f>
        <v>0</v>
      </c>
    </row>
    <row r="31" spans="1:9">
      <c r="A31" s="583"/>
      <c r="B31" s="501" t="s">
        <v>1038</v>
      </c>
      <c r="C31" s="508"/>
      <c r="D31" s="689">
        <f>SUM(D27:D30)</f>
        <v>9288038</v>
      </c>
      <c r="E31" s="690"/>
      <c r="F31" s="692">
        <f>SUM(F21:F30)</f>
        <v>7050409.623065534</v>
      </c>
      <c r="G31" s="692">
        <f>SUM(G21:G30)</f>
        <v>2237628.376934466</v>
      </c>
      <c r="H31" s="692">
        <f>SUM(H21:H30)</f>
        <v>9288038</v>
      </c>
    </row>
    <row r="32" spans="1:9">
      <c r="A32" s="583"/>
      <c r="C32" s="508"/>
      <c r="D32" s="689"/>
      <c r="E32" s="689"/>
      <c r="F32" s="947"/>
      <c r="G32" s="947"/>
      <c r="H32" s="947"/>
    </row>
    <row r="33" spans="1:10">
      <c r="A33" s="583"/>
      <c r="D33" s="694"/>
      <c r="E33" s="694"/>
      <c r="F33" s="690"/>
      <c r="G33" s="689"/>
      <c r="H33" s="689"/>
    </row>
    <row r="34" spans="1:10" ht="13.5" thickBot="1">
      <c r="A34" s="583"/>
      <c r="B34" s="497" t="s">
        <v>1039</v>
      </c>
      <c r="D34" s="390"/>
      <c r="E34" s="390"/>
      <c r="F34" s="695">
        <f>F10+F18+F31</f>
        <v>14219568.310434798</v>
      </c>
      <c r="G34" s="695">
        <f>G10+G18+G31</f>
        <v>2942567.1752356957</v>
      </c>
      <c r="H34" s="695">
        <f>H10+H18+H31</f>
        <v>17162135.485670492</v>
      </c>
    </row>
    <row r="35" spans="1:10" ht="13.5" thickTop="1">
      <c r="A35" s="583"/>
      <c r="F35" s="509"/>
      <c r="G35" s="509"/>
      <c r="H35" s="509"/>
    </row>
    <row r="36" spans="1:10" ht="15.75">
      <c r="A36" s="238"/>
      <c r="B36" s="1504" t="s">
        <v>1491</v>
      </c>
      <c r="C36" s="1505"/>
      <c r="D36" s="1505"/>
      <c r="F36" s="509"/>
      <c r="G36" s="509"/>
      <c r="H36" s="509"/>
    </row>
    <row r="37" spans="1:10">
      <c r="A37" s="238"/>
      <c r="F37" s="509"/>
      <c r="G37" s="509"/>
      <c r="H37" s="509"/>
    </row>
    <row r="38" spans="1:10">
      <c r="A38" s="242"/>
    </row>
    <row r="39" spans="1:10">
      <c r="A39" s="238"/>
    </row>
    <row r="40" spans="1:10">
      <c r="G40" s="510"/>
      <c r="H40" s="510"/>
      <c r="I40" s="492"/>
      <c r="J40" s="241"/>
    </row>
    <row r="41" spans="1:10">
      <c r="G41" s="510"/>
      <c r="H41" s="510"/>
      <c r="I41" s="492"/>
      <c r="J41" s="241"/>
    </row>
    <row r="42" spans="1:10">
      <c r="G42" s="510"/>
      <c r="H42" s="510"/>
      <c r="I42" s="492"/>
      <c r="J42" s="241"/>
    </row>
    <row r="43" spans="1:10">
      <c r="G43" s="511"/>
      <c r="H43" s="511"/>
      <c r="I43" s="492"/>
      <c r="J43" s="241"/>
    </row>
    <row r="44" spans="1:10">
      <c r="G44" s="511"/>
      <c r="H44" s="511"/>
      <c r="I44" s="492"/>
      <c r="J44" s="241"/>
    </row>
    <row r="45" spans="1:10">
      <c r="G45" s="511"/>
      <c r="H45" s="511"/>
      <c r="I45" s="492"/>
      <c r="J45" s="241"/>
    </row>
    <row r="46" spans="1:10">
      <c r="G46" s="493"/>
      <c r="H46" s="493"/>
      <c r="I46" s="492"/>
      <c r="J46" s="241"/>
    </row>
    <row r="47" spans="1:10">
      <c r="G47" s="493"/>
      <c r="H47" s="493"/>
      <c r="I47" s="492"/>
      <c r="J47" s="241"/>
    </row>
    <row r="48" spans="1:10">
      <c r="G48" s="493"/>
      <c r="H48" s="493"/>
      <c r="I48" s="492"/>
      <c r="J48" s="241"/>
    </row>
  </sheetData>
  <mergeCells count="1">
    <mergeCell ref="B36:D36"/>
  </mergeCells>
  <phoneticPr fontId="17" type="noConversion"/>
  <printOptions horizontalCentered="1"/>
  <pageMargins left="0" right="0" top="1.5" bottom="0" header="0.5" footer="0"/>
  <pageSetup scale="75" orientation="portrait" r:id="rId1"/>
  <headerFooter alignWithMargins="0">
    <oddHeader xml:space="preserve">&amp;C&amp;"Arial,Bold"&amp;12Puget Sound Energy
General Rate Case
Property Taxes On Production and Transmission
Restated (Used for the Production Adjustment and for preparation of the Power Cost Rate)
</oddHeader>
    <oddFooter>&amp;LNote:  Amounts presented in bold italic have changed since the Sept 1, 2011  supplemental filing.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K51"/>
  <sheetViews>
    <sheetView topLeftCell="A7" zoomScaleNormal="100" workbookViewId="0">
      <selection activeCell="B46" sqref="B46:D46"/>
    </sheetView>
  </sheetViews>
  <sheetFormatPr defaultRowHeight="12.75"/>
  <cols>
    <col min="1" max="1" width="4.1640625" style="577" customWidth="1"/>
    <col min="2" max="2" width="29.1640625" style="577" customWidth="1"/>
    <col min="3" max="3" width="11.5" style="577" customWidth="1"/>
    <col min="4" max="4" width="17" style="577" customWidth="1"/>
    <col min="5" max="5" width="3.1640625" style="577" customWidth="1"/>
    <col min="6" max="6" width="13.83203125" style="577" customWidth="1"/>
    <col min="7" max="7" width="3.1640625" style="577" customWidth="1"/>
    <col min="8" max="8" width="16" style="577" customWidth="1"/>
    <col min="9" max="9" width="4.33203125" style="577" customWidth="1"/>
    <col min="10" max="10" width="18" style="577" bestFit="1" customWidth="1"/>
    <col min="11" max="11" width="3.83203125" style="577" bestFit="1" customWidth="1"/>
    <col min="12" max="16384" width="9.33203125" style="577"/>
  </cols>
  <sheetData>
    <row r="1" spans="1:11">
      <c r="A1" s="574"/>
      <c r="B1" s="575"/>
      <c r="C1" s="576"/>
      <c r="D1" s="576"/>
      <c r="E1" s="576"/>
      <c r="F1" s="576"/>
      <c r="G1" s="576"/>
      <c r="H1" s="576"/>
      <c r="I1" s="576"/>
      <c r="J1" s="576"/>
    </row>
    <row r="2" spans="1:11">
      <c r="A2"/>
      <c r="B2"/>
      <c r="C2"/>
      <c r="D2"/>
      <c r="E2"/>
      <c r="F2"/>
      <c r="G2"/>
      <c r="H2"/>
      <c r="I2"/>
      <c r="J2"/>
    </row>
    <row r="3" spans="1:11" customFormat="1" ht="10.5"/>
    <row r="4" spans="1:11" customFormat="1" ht="10.5">
      <c r="A4" s="1509" t="s">
        <v>840</v>
      </c>
      <c r="B4" s="1509"/>
      <c r="C4" s="1509"/>
      <c r="D4" s="1509"/>
      <c r="E4" s="1509"/>
      <c r="F4" s="1509"/>
      <c r="G4" s="1509"/>
      <c r="H4" s="1509"/>
      <c r="I4" s="1509"/>
      <c r="J4" s="1509"/>
    </row>
    <row r="5" spans="1:11">
      <c r="A5" s="1509" t="s">
        <v>1160</v>
      </c>
      <c r="B5" s="1509"/>
      <c r="C5" s="1509"/>
      <c r="D5" s="1509"/>
      <c r="E5" s="1509"/>
      <c r="F5" s="1509"/>
      <c r="G5" s="1509"/>
      <c r="H5" s="1509"/>
      <c r="I5" s="1509"/>
      <c r="J5" s="1509"/>
    </row>
    <row r="6" spans="1:11">
      <c r="A6" s="1509" t="s">
        <v>1161</v>
      </c>
      <c r="B6" s="1509"/>
      <c r="C6" s="1509"/>
      <c r="D6" s="1509"/>
      <c r="E6" s="1509"/>
      <c r="F6" s="1509"/>
      <c r="G6" s="1509"/>
      <c r="H6" s="1509"/>
      <c r="I6" s="1509"/>
      <c r="J6" s="1509"/>
    </row>
    <row r="7" spans="1:11">
      <c r="A7" s="1509" t="s">
        <v>438</v>
      </c>
      <c r="B7" s="1509"/>
      <c r="C7" s="1509"/>
      <c r="D7" s="1509"/>
      <c r="E7" s="1509"/>
      <c r="F7" s="1509"/>
      <c r="G7" s="1509"/>
      <c r="H7" s="1509"/>
      <c r="I7" s="1509"/>
      <c r="J7" s="1509"/>
    </row>
    <row r="8" spans="1:11">
      <c r="A8" s="1509" t="s">
        <v>439</v>
      </c>
      <c r="B8" s="1509"/>
      <c r="C8" s="1509"/>
      <c r="D8" s="1509"/>
      <c r="E8" s="1509"/>
      <c r="F8" s="1509"/>
      <c r="G8" s="1509"/>
      <c r="H8" s="1509"/>
      <c r="I8" s="1509"/>
      <c r="J8" s="1509"/>
    </row>
    <row r="9" spans="1:11">
      <c r="A9"/>
      <c r="B9"/>
      <c r="C9"/>
      <c r="D9"/>
      <c r="E9"/>
      <c r="F9"/>
      <c r="G9"/>
      <c r="H9"/>
      <c r="I9"/>
      <c r="J9"/>
    </row>
    <row r="10" spans="1:11">
      <c r="A10"/>
      <c r="B10"/>
      <c r="C10"/>
      <c r="D10" s="1282">
        <v>40810006</v>
      </c>
      <c r="E10"/>
      <c r="F10" s="1282">
        <v>40810012</v>
      </c>
      <c r="G10"/>
      <c r="H10" s="1282">
        <v>40810013</v>
      </c>
      <c r="I10"/>
      <c r="J10"/>
    </row>
    <row r="11" spans="1:11" ht="13.5" thickBot="1">
      <c r="A11"/>
      <c r="B11"/>
      <c r="C11"/>
      <c r="D11" s="1270" t="s">
        <v>807</v>
      </c>
      <c r="E11" s="1271"/>
      <c r="F11" s="1272" t="s">
        <v>808</v>
      </c>
      <c r="G11" s="1271"/>
      <c r="H11" s="1272" t="s">
        <v>809</v>
      </c>
      <c r="I11" s="1271"/>
      <c r="J11" s="1273" t="s">
        <v>603</v>
      </c>
    </row>
    <row r="12" spans="1:11" ht="13.5" thickTop="1">
      <c r="A12"/>
      <c r="B12"/>
      <c r="C12"/>
      <c r="D12" s="1261"/>
      <c r="E12" s="1262"/>
      <c r="F12" s="1262"/>
      <c r="G12" s="1262"/>
      <c r="H12" s="1262"/>
      <c r="I12" s="1262"/>
      <c r="J12" s="1263"/>
      <c r="K12" s="578"/>
    </row>
    <row r="13" spans="1:11">
      <c r="A13" t="s">
        <v>810</v>
      </c>
      <c r="B13" t="s">
        <v>811</v>
      </c>
      <c r="C13" t="s">
        <v>153</v>
      </c>
      <c r="D13" s="1264">
        <f>139753838+6892888780-F13-H13</f>
        <v>6090585523</v>
      </c>
      <c r="E13" s="1265"/>
      <c r="F13" s="1265">
        <v>88135868</v>
      </c>
      <c r="G13" s="1265"/>
      <c r="H13" s="1265">
        <v>853921227</v>
      </c>
      <c r="I13" s="1265"/>
      <c r="J13" s="1266">
        <f>+D13+F13+H13</f>
        <v>7032642618</v>
      </c>
      <c r="K13" s="578"/>
    </row>
    <row r="14" spans="1:11">
      <c r="A14" t="s">
        <v>812</v>
      </c>
      <c r="B14" t="s">
        <v>813</v>
      </c>
      <c r="C14" t="s">
        <v>153</v>
      </c>
      <c r="D14" s="1264">
        <v>29445702</v>
      </c>
      <c r="E14" s="1265"/>
      <c r="F14" s="1265">
        <v>0</v>
      </c>
      <c r="G14" s="1265"/>
      <c r="H14" s="1265">
        <v>0</v>
      </c>
      <c r="I14" s="1265"/>
      <c r="J14" s="1266">
        <f>+D14+F14+H14</f>
        <v>29445702</v>
      </c>
      <c r="K14" s="578"/>
    </row>
    <row r="15" spans="1:11">
      <c r="A15" t="s">
        <v>814</v>
      </c>
      <c r="B15" t="s">
        <v>815</v>
      </c>
      <c r="C15" t="s">
        <v>153</v>
      </c>
      <c r="D15" s="1264">
        <v>251782251</v>
      </c>
      <c r="E15" s="1265"/>
      <c r="F15" s="1265">
        <v>0</v>
      </c>
      <c r="G15" s="1265"/>
      <c r="H15" s="1265">
        <v>0</v>
      </c>
      <c r="I15" s="1265"/>
      <c r="J15" s="1266">
        <f>+D15+F15+H15</f>
        <v>251782251</v>
      </c>
      <c r="K15" s="578"/>
    </row>
    <row r="16" spans="1:11">
      <c r="A16" t="s">
        <v>816</v>
      </c>
      <c r="B16" t="s">
        <v>820</v>
      </c>
      <c r="C16" t="s">
        <v>153</v>
      </c>
      <c r="D16" s="1267">
        <f>287383908+297734000</f>
        <v>585117908</v>
      </c>
      <c r="E16" s="1268"/>
      <c r="F16" s="1268">
        <v>0</v>
      </c>
      <c r="G16" s="1268"/>
      <c r="H16" s="1268">
        <v>0</v>
      </c>
      <c r="I16" s="1268"/>
      <c r="J16" s="1269">
        <f>+D16+F16+H16</f>
        <v>585117908</v>
      </c>
      <c r="K16" s="578"/>
    </row>
    <row r="17" spans="1:11">
      <c r="A17"/>
      <c r="B17"/>
      <c r="C17"/>
      <c r="D17" s="1264"/>
      <c r="E17" s="1265"/>
      <c r="F17" s="1265"/>
      <c r="G17" s="1265"/>
      <c r="H17" s="1265"/>
      <c r="I17" s="1265"/>
      <c r="J17" s="1266"/>
      <c r="K17" s="579"/>
    </row>
    <row r="18" spans="1:11" ht="13.5" thickBot="1">
      <c r="A18" t="s">
        <v>821</v>
      </c>
      <c r="B18" t="s">
        <v>1287</v>
      </c>
      <c r="C18" t="s">
        <v>153</v>
      </c>
      <c r="D18" s="1274">
        <f>SUM(D13:D17)</f>
        <v>6956931384</v>
      </c>
      <c r="E18" s="1275"/>
      <c r="F18" s="1275">
        <f>SUM(F13:F17)</f>
        <v>88135868</v>
      </c>
      <c r="G18" s="1275"/>
      <c r="H18" s="1275">
        <f>SUM(H13:H17)</f>
        <v>853921227</v>
      </c>
      <c r="I18" s="1275"/>
      <c r="J18" s="1276">
        <f>+D18+F18+H18</f>
        <v>7898988479</v>
      </c>
      <c r="K18" s="578"/>
    </row>
    <row r="19" spans="1:11" ht="13.5" thickTop="1">
      <c r="A19"/>
      <c r="B19"/>
      <c r="C19"/>
      <c r="D19" s="1264"/>
      <c r="E19" s="1265"/>
      <c r="F19" s="1265"/>
      <c r="G19" s="1265"/>
      <c r="H19" s="1265"/>
      <c r="I19" s="1265"/>
      <c r="J19" s="1266"/>
      <c r="K19" s="579"/>
    </row>
    <row r="20" spans="1:11" ht="13.5" thickBot="1">
      <c r="A20" t="s">
        <v>1288</v>
      </c>
      <c r="B20" t="s">
        <v>1028</v>
      </c>
      <c r="C20" t="s">
        <v>153</v>
      </c>
      <c r="D20" s="1274">
        <f>1139427257+292648800+1147323095-H20</f>
        <v>1819419183</v>
      </c>
      <c r="E20" s="1275"/>
      <c r="F20" s="1275">
        <v>0</v>
      </c>
      <c r="G20" s="1275"/>
      <c r="H20" s="1275">
        <v>759979969</v>
      </c>
      <c r="I20" s="1275"/>
      <c r="J20" s="1276">
        <f>+D20+F20+H20</f>
        <v>2579399152</v>
      </c>
      <c r="K20" s="578"/>
    </row>
    <row r="21" spans="1:11" ht="13.5" thickTop="1">
      <c r="A21"/>
      <c r="B21" t="s">
        <v>1289</v>
      </c>
      <c r="C21"/>
      <c r="D21" s="1264">
        <v>21992126</v>
      </c>
      <c r="E21" s="1265"/>
      <c r="F21" s="1265"/>
      <c r="G21" s="1265"/>
      <c r="H21" s="1265"/>
      <c r="I21" s="1265"/>
      <c r="J21" s="1266"/>
      <c r="K21" s="578"/>
    </row>
    <row r="22" spans="1:11">
      <c r="A22"/>
      <c r="B22"/>
      <c r="C22"/>
      <c r="D22" s="1264"/>
      <c r="E22" s="1265"/>
      <c r="F22" s="1265"/>
      <c r="G22" s="1265"/>
      <c r="H22" s="1265"/>
      <c r="I22" s="1265"/>
      <c r="J22" s="1266"/>
      <c r="K22" s="578"/>
    </row>
    <row r="23" spans="1:11" ht="13.5" thickBot="1">
      <c r="A23" t="s">
        <v>1290</v>
      </c>
      <c r="B23" t="s">
        <v>1291</v>
      </c>
      <c r="C23" t="s">
        <v>1292</v>
      </c>
      <c r="D23" s="1278">
        <f>+D20/D18</f>
        <v>0.26152610721221398</v>
      </c>
      <c r="E23" s="1279"/>
      <c r="F23" s="1279">
        <f>+F20/F18</f>
        <v>0</v>
      </c>
      <c r="G23" s="1279"/>
      <c r="H23" s="1279">
        <f>+H20/H18</f>
        <v>0.88998837945505249</v>
      </c>
      <c r="I23" s="1279"/>
      <c r="J23" s="1280"/>
      <c r="K23" s="578"/>
    </row>
    <row r="24" spans="1:11" ht="13.5" thickTop="1">
      <c r="A24"/>
      <c r="B24" t="s">
        <v>1293</v>
      </c>
      <c r="C24"/>
      <c r="D24" s="1287">
        <f>+D21/D18</f>
        <v>3.1611819617164707E-3</v>
      </c>
      <c r="E24" s="1288"/>
      <c r="F24" s="1288"/>
      <c r="G24" s="1288"/>
      <c r="H24" s="1288"/>
      <c r="I24" s="1288"/>
      <c r="J24" s="1277"/>
      <c r="K24" s="578"/>
    </row>
    <row r="25" spans="1:11">
      <c r="A25"/>
      <c r="B25"/>
      <c r="C25"/>
      <c r="D25" s="1289"/>
      <c r="E25" s="1290"/>
      <c r="F25" s="1290"/>
      <c r="G25" s="1290"/>
      <c r="H25" s="1290"/>
      <c r="I25" s="1290"/>
      <c r="J25" s="1266"/>
      <c r="K25" s="578"/>
    </row>
    <row r="26" spans="1:11">
      <c r="A26" t="s">
        <v>1294</v>
      </c>
      <c r="B26" t="s">
        <v>1162</v>
      </c>
      <c r="C26"/>
      <c r="D26" s="1286">
        <v>27412784</v>
      </c>
      <c r="E26" s="1290"/>
      <c r="F26" s="1285">
        <f>314443+303839</f>
        <v>618282</v>
      </c>
      <c r="G26" s="1290"/>
      <c r="H26" s="1285">
        <v>9294613</v>
      </c>
      <c r="I26" s="1290"/>
      <c r="J26" s="1266"/>
      <c r="K26" s="578"/>
    </row>
    <row r="27" spans="1:11">
      <c r="A27"/>
      <c r="B27" t="s">
        <v>272</v>
      </c>
      <c r="C27"/>
      <c r="D27" s="1234">
        <v>238723</v>
      </c>
      <c r="E27" s="1235"/>
      <c r="F27" s="1235">
        <v>0</v>
      </c>
      <c r="G27" s="1235"/>
      <c r="H27" s="1235"/>
      <c r="I27" s="1290"/>
      <c r="J27" s="1266"/>
      <c r="K27" s="578"/>
    </row>
    <row r="28" spans="1:11">
      <c r="A28"/>
      <c r="B28" s="933" t="s">
        <v>1417</v>
      </c>
      <c r="C28"/>
      <c r="D28" s="1234">
        <v>117505</v>
      </c>
      <c r="E28" s="1235"/>
      <c r="F28" s="1235"/>
      <c r="G28" s="1235"/>
      <c r="H28" s="1235">
        <v>-6575</v>
      </c>
      <c r="I28" s="1290"/>
      <c r="J28" s="1266"/>
      <c r="K28" s="578"/>
    </row>
    <row r="29" spans="1:11">
      <c r="A29" s="933"/>
      <c r="B29" s="933" t="s">
        <v>1295</v>
      </c>
      <c r="C29" s="933"/>
      <c r="D29" s="1234"/>
      <c r="E29" s="1235"/>
      <c r="F29" s="1235"/>
      <c r="G29" s="1235"/>
      <c r="H29" s="1235">
        <f>-1366126</f>
        <v>-1366126</v>
      </c>
      <c r="I29" s="1290"/>
      <c r="J29" s="1266"/>
      <c r="K29" s="578"/>
    </row>
    <row r="30" spans="1:11">
      <c r="A30"/>
      <c r="B30" s="933" t="s">
        <v>1415</v>
      </c>
      <c r="C30"/>
      <c r="D30" s="1234">
        <v>66227</v>
      </c>
      <c r="E30" s="1290"/>
      <c r="F30" s="1290"/>
      <c r="G30" s="1290"/>
      <c r="H30" s="1235"/>
      <c r="I30" s="1290"/>
      <c r="J30" s="1266"/>
      <c r="K30" s="578"/>
    </row>
    <row r="31" spans="1:11">
      <c r="A31"/>
      <c r="B31"/>
      <c r="C31"/>
      <c r="D31" s="1291">
        <f>SUM(D26:D30)</f>
        <v>27835239</v>
      </c>
      <c r="E31" s="1292"/>
      <c r="F31" s="1292">
        <f>SUM(F26:F30)</f>
        <v>618282</v>
      </c>
      <c r="G31" s="1292"/>
      <c r="H31" s="1292">
        <f>SUM(H26:H30)</f>
        <v>7921912</v>
      </c>
      <c r="I31" s="1292"/>
      <c r="J31" s="1281"/>
      <c r="K31" s="578"/>
    </row>
    <row r="32" spans="1:11">
      <c r="A32"/>
      <c r="B32" s="933" t="s">
        <v>1416</v>
      </c>
      <c r="C32"/>
      <c r="D32" s="1289">
        <f>D31-D28</f>
        <v>27717734</v>
      </c>
      <c r="E32" s="1290"/>
      <c r="F32" s="1290"/>
      <c r="G32" s="1290"/>
      <c r="H32" s="1290"/>
      <c r="I32" s="1290"/>
      <c r="J32" s="1266"/>
      <c r="K32" s="578"/>
    </row>
    <row r="33" spans="1:11" ht="13.5" thickBot="1">
      <c r="A33" t="s">
        <v>1296</v>
      </c>
      <c r="B33" t="s">
        <v>1297</v>
      </c>
      <c r="C33" t="s">
        <v>1298</v>
      </c>
      <c r="D33" s="1293">
        <f>D32*D23</f>
        <v>7248911.0737636285</v>
      </c>
      <c r="E33" s="1294"/>
      <c r="F33" s="1294">
        <f>+F23*F31</f>
        <v>0</v>
      </c>
      <c r="G33" s="1294"/>
      <c r="H33" s="1294">
        <f>+H23*H31</f>
        <v>7050409.623065534</v>
      </c>
      <c r="I33" s="1294"/>
      <c r="J33" s="1276"/>
      <c r="K33" s="578"/>
    </row>
    <row r="34" spans="1:11" ht="13.5" thickTop="1">
      <c r="A34"/>
      <c r="B34"/>
      <c r="C34"/>
      <c r="D34" s="1081"/>
      <c r="E34" s="1081"/>
      <c r="F34" s="1081"/>
      <c r="G34" s="1081"/>
      <c r="H34" s="1081"/>
      <c r="I34" s="1081"/>
      <c r="J34" s="1080"/>
    </row>
    <row r="35" spans="1:11" customFormat="1" ht="10.5">
      <c r="B35" t="s">
        <v>1299</v>
      </c>
      <c r="D35" s="1081"/>
      <c r="E35" s="1081"/>
      <c r="F35" s="1081"/>
      <c r="G35" s="1081"/>
      <c r="H35" s="1081"/>
      <c r="I35" s="1081"/>
      <c r="J35" s="1080"/>
    </row>
    <row r="36" spans="1:11" customFormat="1" ht="10.5">
      <c r="B36" t="s">
        <v>1289</v>
      </c>
      <c r="D36" s="1081">
        <f>D24*D32</f>
        <v>87620.800740455321</v>
      </c>
      <c r="E36" s="1081"/>
      <c r="F36" s="1081"/>
      <c r="G36" s="1081"/>
      <c r="H36" s="1081"/>
      <c r="I36" s="1081"/>
      <c r="J36" s="1080"/>
    </row>
    <row r="37" spans="1:11" customFormat="1" ht="10.5">
      <c r="B37" t="s">
        <v>1300</v>
      </c>
      <c r="D37" s="1081"/>
      <c r="E37" s="1081"/>
      <c r="F37" s="1080">
        <f>+F31</f>
        <v>618282</v>
      </c>
      <c r="G37" s="1081"/>
      <c r="H37" s="1081"/>
      <c r="I37" s="1080"/>
      <c r="J37" s="1080"/>
    </row>
    <row r="38" spans="1:11" customFormat="1" ht="10.5">
      <c r="B38" t="s">
        <v>1301</v>
      </c>
      <c r="D38" s="1081"/>
      <c r="E38" s="1081"/>
      <c r="F38" s="1081"/>
      <c r="G38" s="1081"/>
      <c r="H38" s="1080">
        <f>+H31-H33-H29</f>
        <v>2237628.376934466</v>
      </c>
      <c r="I38" s="1080"/>
      <c r="J38" s="1080"/>
    </row>
    <row r="39" spans="1:11" customFormat="1" ht="10.5">
      <c r="D39" s="1081"/>
      <c r="E39" s="1081"/>
      <c r="F39" s="1081"/>
      <c r="G39" s="1081"/>
      <c r="H39" s="1081"/>
      <c r="I39" s="1080"/>
      <c r="J39" s="1080"/>
    </row>
    <row r="40" spans="1:11" customFormat="1" ht="10.5">
      <c r="B40" s="462" t="s">
        <v>1302</v>
      </c>
      <c r="D40" s="1080">
        <f>D31-D36-D41</f>
        <v>27630113.199259546</v>
      </c>
      <c r="E40" s="1081"/>
      <c r="F40" s="1081"/>
      <c r="G40" s="1081"/>
      <c r="H40" s="1080">
        <f>+H33</f>
        <v>7050409.623065534</v>
      </c>
      <c r="I40" s="1080"/>
      <c r="J40" s="1080"/>
    </row>
    <row r="41" spans="1:11" customFormat="1" ht="10.5">
      <c r="B41" t="s">
        <v>440</v>
      </c>
      <c r="D41" s="1284">
        <f>D28</f>
        <v>117505</v>
      </c>
      <c r="E41" s="1081"/>
      <c r="F41" s="1081"/>
      <c r="G41" s="1081"/>
      <c r="H41" s="1284">
        <f>-H28</f>
        <v>6575</v>
      </c>
      <c r="I41" s="1080"/>
      <c r="J41" s="1080"/>
    </row>
    <row r="42" spans="1:11" customFormat="1" ht="10.5">
      <c r="D42" s="1283"/>
      <c r="E42" s="1081"/>
      <c r="F42" s="1283"/>
      <c r="G42" s="1081"/>
      <c r="H42" s="1283"/>
      <c r="I42" s="1080"/>
      <c r="J42" s="1080"/>
    </row>
    <row r="43" spans="1:11" customFormat="1" ht="11.25" thickBot="1">
      <c r="D43" s="1275">
        <f>SUM(D35:D41)</f>
        <v>27835239</v>
      </c>
      <c r="E43" s="1081"/>
      <c r="F43" s="1275">
        <f>SUM(F37:F42)</f>
        <v>618282</v>
      </c>
      <c r="G43" s="1081"/>
      <c r="H43" s="1275">
        <f>SUM(H38:H41)</f>
        <v>9294613</v>
      </c>
      <c r="I43" s="1080"/>
      <c r="J43" s="1080"/>
    </row>
    <row r="44" spans="1:11" s="581" customFormat="1" ht="13.5" thickTop="1">
      <c r="A44" s="688"/>
      <c r="B44" s="580"/>
      <c r="C44" s="580"/>
      <c r="D44" s="1082"/>
      <c r="E44" s="1083"/>
      <c r="F44" s="1083"/>
      <c r="G44" s="1084"/>
      <c r="H44" s="1084"/>
      <c r="I44" s="1084"/>
      <c r="J44" s="1084"/>
    </row>
    <row r="45" spans="1:11" s="581" customFormat="1">
      <c r="A45" s="688"/>
      <c r="B45" s="580"/>
      <c r="C45" s="580"/>
      <c r="D45" s="1085"/>
      <c r="E45" s="1083"/>
      <c r="F45" s="1083"/>
      <c r="G45" s="1084"/>
      <c r="H45" s="1084"/>
      <c r="I45" s="1084"/>
      <c r="J45" s="1084"/>
    </row>
    <row r="46" spans="1:11" s="581" customFormat="1" ht="15.75">
      <c r="A46" s="688"/>
      <c r="B46" s="1504" t="s">
        <v>1491</v>
      </c>
      <c r="C46" s="1505"/>
      <c r="D46" s="1505"/>
      <c r="E46" s="1083"/>
      <c r="F46" s="1083"/>
      <c r="G46" s="1084"/>
      <c r="H46" s="1084"/>
      <c r="I46" s="1084"/>
      <c r="J46" s="1084"/>
    </row>
    <row r="47" spans="1:11" s="581" customFormat="1">
      <c r="A47" s="688"/>
      <c r="B47" s="582"/>
      <c r="C47" s="580"/>
      <c r="D47" s="1086"/>
      <c r="E47" s="1083"/>
      <c r="F47" s="1083"/>
      <c r="G47" s="1084"/>
      <c r="H47" s="1084"/>
      <c r="I47" s="1084"/>
      <c r="J47" s="1084"/>
    </row>
    <row r="48" spans="1:11" s="581" customFormat="1">
      <c r="A48" s="688"/>
      <c r="B48" s="580"/>
      <c r="C48" s="580"/>
      <c r="D48" s="1087"/>
      <c r="E48" s="1083"/>
      <c r="F48" s="1083"/>
      <c r="G48" s="1084"/>
      <c r="H48" s="1084"/>
      <c r="I48" s="1084"/>
      <c r="J48" s="1084"/>
    </row>
    <row r="49" spans="2:10" s="581" customFormat="1">
      <c r="B49" s="580"/>
      <c r="C49" s="580"/>
      <c r="D49" s="1086"/>
      <c r="E49" s="1084"/>
      <c r="F49" s="1084"/>
      <c r="G49" s="1084"/>
      <c r="H49" s="1084"/>
      <c r="I49" s="1084"/>
      <c r="J49" s="1084"/>
    </row>
    <row r="50" spans="2:10" s="581" customFormat="1">
      <c r="B50" s="580"/>
      <c r="C50" s="580"/>
      <c r="D50" s="1086"/>
      <c r="E50" s="1084"/>
      <c r="F50" s="1084"/>
      <c r="G50" s="1084"/>
      <c r="H50" s="1084"/>
      <c r="I50" s="1084"/>
      <c r="J50" s="1084"/>
    </row>
    <row r="51" spans="2:10" s="581" customFormat="1">
      <c r="B51" s="580"/>
      <c r="C51" s="580"/>
      <c r="D51" s="1086"/>
      <c r="E51" s="1084"/>
      <c r="F51" s="1084"/>
      <c r="G51" s="1084"/>
      <c r="H51" s="1084"/>
      <c r="I51" s="1084"/>
      <c r="J51" s="1084"/>
    </row>
  </sheetData>
  <mergeCells count="6">
    <mergeCell ref="B46:D46"/>
    <mergeCell ref="A4:J4"/>
    <mergeCell ref="A5:J5"/>
    <mergeCell ref="A6:J6"/>
    <mergeCell ref="A7:J7"/>
    <mergeCell ref="A8:J8"/>
  </mergeCells>
  <phoneticPr fontId="17" type="noConversion"/>
  <pageMargins left="0.75" right="0.75" top="1" bottom="1" header="0.5" footer="0.5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1">
    <pageSetUpPr autoPageBreaks="0" fitToPage="1"/>
  </sheetPr>
  <dimension ref="A1:E59"/>
  <sheetViews>
    <sheetView workbookViewId="0">
      <selection activeCell="B26" sqref="B26:D26"/>
    </sheetView>
  </sheetViews>
  <sheetFormatPr defaultColWidth="10.6640625" defaultRowHeight="12.75"/>
  <cols>
    <col min="1" max="1" width="6" style="702" customWidth="1"/>
    <col min="2" max="2" width="58.5" style="702" bestFit="1" customWidth="1"/>
    <col min="3" max="5" width="17.5" style="702" customWidth="1"/>
    <col min="6" max="16384" width="10.6640625" style="702"/>
  </cols>
  <sheetData>
    <row r="1" spans="1:5">
      <c r="A1" s="336"/>
    </row>
    <row r="2" spans="1:5">
      <c r="A2" s="703"/>
    </row>
    <row r="3" spans="1:5">
      <c r="A3" s="704" t="s">
        <v>1284</v>
      </c>
      <c r="B3" s="705"/>
      <c r="C3" s="705"/>
      <c r="D3" s="705"/>
      <c r="E3" s="705"/>
    </row>
    <row r="4" spans="1:5">
      <c r="A4" s="706" t="s">
        <v>945</v>
      </c>
      <c r="B4" s="705"/>
      <c r="C4" s="705"/>
      <c r="D4" s="705"/>
      <c r="E4" s="705"/>
    </row>
    <row r="5" spans="1:5">
      <c r="A5" s="707" t="s">
        <v>946</v>
      </c>
      <c r="B5" s="705"/>
      <c r="C5" s="705"/>
      <c r="D5" s="705"/>
      <c r="E5" s="705"/>
    </row>
    <row r="6" spans="1:5">
      <c r="A6" s="707" t="s">
        <v>947</v>
      </c>
      <c r="B6" s="705"/>
      <c r="C6" s="705"/>
      <c r="D6" s="705"/>
      <c r="E6" s="705"/>
    </row>
    <row r="7" spans="1:5">
      <c r="A7" s="707" t="s">
        <v>948</v>
      </c>
      <c r="B7" s="705"/>
      <c r="C7" s="705"/>
      <c r="D7" s="705"/>
      <c r="E7" s="705"/>
    </row>
    <row r="11" spans="1:5">
      <c r="A11" s="708" t="s">
        <v>1153</v>
      </c>
      <c r="B11" s="709"/>
      <c r="C11" s="710" t="s">
        <v>336</v>
      </c>
      <c r="D11" s="710" t="s">
        <v>1174</v>
      </c>
      <c r="E11" s="710" t="s">
        <v>949</v>
      </c>
    </row>
    <row r="12" spans="1:5">
      <c r="A12" s="711" t="s">
        <v>1179</v>
      </c>
      <c r="B12" s="712" t="s">
        <v>323</v>
      </c>
      <c r="C12" s="711" t="s">
        <v>950</v>
      </c>
      <c r="D12" s="711" t="s">
        <v>327</v>
      </c>
      <c r="E12" s="711" t="s">
        <v>951</v>
      </c>
    </row>
    <row r="13" spans="1:5">
      <c r="C13" s="713"/>
      <c r="D13" s="713"/>
      <c r="E13" s="713"/>
    </row>
    <row r="14" spans="1:5">
      <c r="A14" s="714">
        <v>1</v>
      </c>
      <c r="B14" s="715" t="s">
        <v>952</v>
      </c>
      <c r="C14" s="716">
        <f>'JHS-20.01(A)'!L24+'JHS-20'!BB15</f>
        <v>6739802.3509596949</v>
      </c>
      <c r="D14" s="716">
        <f>-C14*'JHS-20'!$BC$11</f>
        <v>-141468.451346644</v>
      </c>
      <c r="E14" s="716">
        <f>SUM(C14:D14)</f>
        <v>6598333.8996130507</v>
      </c>
    </row>
    <row r="15" spans="1:5">
      <c r="A15" s="714"/>
      <c r="B15" s="715" t="s">
        <v>953</v>
      </c>
      <c r="C15" s="716"/>
      <c r="D15" s="716"/>
      <c r="E15" s="716"/>
    </row>
    <row r="16" spans="1:5">
      <c r="A16" s="714">
        <f>A14+1</f>
        <v>2</v>
      </c>
      <c r="B16" s="715" t="s">
        <v>954</v>
      </c>
      <c r="C16" s="717">
        <f>'JHS-20'!BB33</f>
        <v>2022345.8613809925</v>
      </c>
      <c r="D16" s="717">
        <f>-C16*'JHS-20'!$BC$11</f>
        <v>-42449.039630387037</v>
      </c>
      <c r="E16" s="717">
        <f>SUM(C16:D16)</f>
        <v>1979896.8217506055</v>
      </c>
    </row>
    <row r="17" spans="1:5">
      <c r="A17" s="714">
        <f>A16+1</f>
        <v>3</v>
      </c>
      <c r="B17" s="718" t="s">
        <v>381</v>
      </c>
      <c r="C17" s="717">
        <f>'JHS-20'!BB21</f>
        <v>2835322</v>
      </c>
      <c r="D17" s="717">
        <f>-C17*'JHS-20'!$BC$11</f>
        <v>-59513.408780000005</v>
      </c>
      <c r="E17" s="717">
        <f>SUM(C17:D17)</f>
        <v>2775808.5912199998</v>
      </c>
    </row>
    <row r="18" spans="1:5">
      <c r="A18" s="714">
        <f>A17+1</f>
        <v>4</v>
      </c>
      <c r="B18" s="718" t="s">
        <v>943</v>
      </c>
      <c r="C18" s="717">
        <f>'JHS-20'!BB32</f>
        <v>1682986.3141500002</v>
      </c>
      <c r="D18" s="717">
        <f>-C18*'JHS-20'!$BC$11</f>
        <v>-35325.882734008504</v>
      </c>
      <c r="E18" s="717">
        <f>SUM(C18:D18)</f>
        <v>1647660.4314159916</v>
      </c>
    </row>
    <row r="19" spans="1:5">
      <c r="A19" s="714">
        <f>A18+1</f>
        <v>5</v>
      </c>
      <c r="B19" s="718" t="s">
        <v>366</v>
      </c>
      <c r="C19" s="717">
        <f>'JHS-20'!BB20</f>
        <v>5009923.6698797224</v>
      </c>
      <c r="D19" s="717">
        <f>-C19*'JHS-20'!$BC$11</f>
        <v>-105158.29783077538</v>
      </c>
      <c r="E19" s="717">
        <f>SUM(C19:D19)</f>
        <v>4904765.372048947</v>
      </c>
    </row>
    <row r="20" spans="1:5">
      <c r="A20" s="714">
        <f>A19+1</f>
        <v>6</v>
      </c>
      <c r="B20" s="719"/>
      <c r="C20" s="720"/>
      <c r="D20" s="720"/>
      <c r="E20" s="720"/>
    </row>
    <row r="21" spans="1:5" ht="13.5" thickBot="1">
      <c r="A21" s="714">
        <f>A20+1</f>
        <v>7</v>
      </c>
      <c r="B21" s="718" t="s">
        <v>955</v>
      </c>
      <c r="C21" s="721">
        <f>SUM(C14:C20)</f>
        <v>18290380.196370408</v>
      </c>
      <c r="D21" s="721">
        <f>SUM(D14:D20)</f>
        <v>-383915.08032181492</v>
      </c>
      <c r="E21" s="721">
        <f>SUM(E14:E20)</f>
        <v>17906465.116048593</v>
      </c>
    </row>
    <row r="22" spans="1:5" ht="13.5" thickTop="1">
      <c r="A22" s="714"/>
      <c r="B22" s="718"/>
      <c r="C22" s="722"/>
      <c r="D22" s="722"/>
      <c r="E22" s="722"/>
    </row>
    <row r="23" spans="1:5">
      <c r="A23" s="714"/>
      <c r="B23" s="718"/>
      <c r="C23" s="722"/>
      <c r="D23" s="722"/>
      <c r="E23" s="722"/>
    </row>
    <row r="24" spans="1:5">
      <c r="A24" s="714"/>
      <c r="B24" s="718"/>
      <c r="C24" s="722"/>
      <c r="D24" s="722"/>
      <c r="E24" s="722"/>
    </row>
    <row r="25" spans="1:5">
      <c r="A25" s="714"/>
      <c r="B25" s="718"/>
      <c r="C25" s="722"/>
      <c r="D25" s="722"/>
      <c r="E25" s="722"/>
    </row>
    <row r="26" spans="1:5" ht="15.75">
      <c r="A26" s="714"/>
      <c r="B26" s="1504" t="s">
        <v>1491</v>
      </c>
      <c r="C26" s="1505"/>
      <c r="D26" s="1505"/>
      <c r="E26" s="722"/>
    </row>
    <row r="27" spans="1:5">
      <c r="A27" s="714"/>
      <c r="B27" s="718"/>
      <c r="C27" s="722"/>
      <c r="D27" s="722"/>
      <c r="E27" s="722"/>
    </row>
    <row r="28" spans="1:5">
      <c r="A28" s="714"/>
      <c r="B28" s="718"/>
      <c r="C28" s="722"/>
      <c r="D28" s="722"/>
      <c r="E28" s="722"/>
    </row>
    <row r="29" spans="1:5">
      <c r="A29" s="714"/>
      <c r="B29" s="718"/>
      <c r="C29" s="722"/>
      <c r="D29" s="722"/>
      <c r="E29" s="722"/>
    </row>
    <row r="30" spans="1:5">
      <c r="A30" s="714"/>
      <c r="B30" s="718"/>
      <c r="C30" s="722"/>
      <c r="D30" s="722"/>
      <c r="E30" s="722"/>
    </row>
    <row r="31" spans="1:5">
      <c r="A31" s="714"/>
      <c r="B31" s="718"/>
      <c r="C31" s="722"/>
      <c r="D31" s="722"/>
      <c r="E31" s="722"/>
    </row>
    <row r="32" spans="1:5">
      <c r="A32" s="714"/>
      <c r="B32" s="718"/>
      <c r="C32" s="722"/>
      <c r="D32" s="722"/>
      <c r="E32" s="722"/>
    </row>
    <row r="33" spans="1:5">
      <c r="A33" s="714"/>
      <c r="B33" s="718"/>
      <c r="C33" s="722"/>
      <c r="D33" s="722"/>
      <c r="E33" s="722"/>
    </row>
    <row r="34" spans="1:5">
      <c r="A34" s="714"/>
      <c r="B34" s="718"/>
      <c r="C34" s="722"/>
      <c r="D34" s="722"/>
      <c r="E34" s="722"/>
    </row>
    <row r="35" spans="1:5">
      <c r="A35" s="714"/>
      <c r="B35" s="718"/>
      <c r="C35" s="722"/>
      <c r="D35" s="722"/>
      <c r="E35" s="722"/>
    </row>
    <row r="36" spans="1:5">
      <c r="A36" s="714"/>
      <c r="B36" s="718"/>
      <c r="C36" s="722"/>
      <c r="D36" s="722"/>
      <c r="E36" s="722"/>
    </row>
    <row r="37" spans="1:5">
      <c r="A37" s="714"/>
      <c r="B37" s="718"/>
      <c r="C37" s="722"/>
      <c r="D37" s="722"/>
      <c r="E37" s="722"/>
    </row>
    <row r="38" spans="1:5">
      <c r="A38" s="714"/>
      <c r="B38" s="718"/>
      <c r="C38" s="722"/>
      <c r="D38" s="722"/>
      <c r="E38" s="722"/>
    </row>
    <row r="39" spans="1:5">
      <c r="A39" s="714"/>
      <c r="B39" s="718"/>
      <c r="C39" s="722"/>
      <c r="D39" s="722"/>
      <c r="E39" s="722"/>
    </row>
    <row r="40" spans="1:5">
      <c r="A40" s="714"/>
      <c r="B40" s="718"/>
      <c r="C40" s="722"/>
      <c r="D40" s="722"/>
      <c r="E40" s="722"/>
    </row>
    <row r="41" spans="1:5">
      <c r="A41" s="714"/>
      <c r="B41" s="718"/>
      <c r="C41" s="722"/>
      <c r="D41" s="722"/>
      <c r="E41" s="722"/>
    </row>
    <row r="42" spans="1:5">
      <c r="A42" s="714"/>
      <c r="B42" s="718"/>
      <c r="C42" s="722"/>
      <c r="D42" s="722"/>
      <c r="E42" s="722"/>
    </row>
    <row r="43" spans="1:5">
      <c r="A43" s="714"/>
      <c r="B43" s="718"/>
      <c r="C43" s="722"/>
      <c r="D43" s="722"/>
      <c r="E43" s="722"/>
    </row>
    <row r="44" spans="1:5">
      <c r="A44" s="714"/>
      <c r="B44" s="718"/>
      <c r="C44" s="722"/>
      <c r="D44" s="722"/>
      <c r="E44" s="722"/>
    </row>
    <row r="45" spans="1:5">
      <c r="A45" s="714"/>
      <c r="B45" s="718"/>
      <c r="C45" s="722"/>
      <c r="D45" s="722"/>
      <c r="E45" s="722"/>
    </row>
    <row r="46" spans="1:5">
      <c r="A46" s="714"/>
      <c r="B46" s="718"/>
      <c r="C46" s="722"/>
      <c r="D46" s="722"/>
      <c r="E46" s="722"/>
    </row>
    <row r="47" spans="1:5">
      <c r="A47" s="714"/>
      <c r="B47" s="718"/>
      <c r="C47" s="722"/>
      <c r="D47" s="722"/>
      <c r="E47" s="722"/>
    </row>
    <row r="48" spans="1:5">
      <c r="A48" s="714"/>
      <c r="B48" s="718"/>
      <c r="C48" s="722"/>
      <c r="D48" s="722"/>
      <c r="E48" s="722"/>
    </row>
    <row r="49" spans="1:5">
      <c r="A49" s="714"/>
      <c r="B49" s="718"/>
      <c r="C49" s="722"/>
      <c r="D49" s="722"/>
      <c r="E49" s="722"/>
    </row>
    <row r="50" spans="1:5">
      <c r="A50" s="714"/>
      <c r="B50" s="718"/>
      <c r="C50" s="722"/>
      <c r="D50" s="722"/>
      <c r="E50" s="722"/>
    </row>
    <row r="51" spans="1:5">
      <c r="A51" s="714"/>
      <c r="B51" s="718"/>
      <c r="C51" s="722"/>
      <c r="D51" s="722"/>
      <c r="E51" s="722"/>
    </row>
    <row r="52" spans="1:5">
      <c r="A52" s="714"/>
      <c r="B52" s="718"/>
      <c r="C52" s="722"/>
      <c r="D52" s="722"/>
      <c r="E52" s="722"/>
    </row>
    <row r="53" spans="1:5">
      <c r="A53" s="714"/>
      <c r="B53" s="718"/>
      <c r="C53" s="722"/>
      <c r="D53" s="722"/>
      <c r="E53" s="722"/>
    </row>
    <row r="54" spans="1:5">
      <c r="A54" s="714"/>
      <c r="B54" s="718"/>
      <c r="C54" s="722"/>
      <c r="D54" s="722"/>
      <c r="E54" s="722"/>
    </row>
    <row r="55" spans="1:5">
      <c r="A55" s="714"/>
      <c r="B55" s="718"/>
      <c r="C55" s="722"/>
      <c r="D55" s="722"/>
      <c r="E55" s="722"/>
    </row>
    <row r="56" spans="1:5">
      <c r="A56" s="714"/>
      <c r="B56" s="718"/>
      <c r="C56" s="722"/>
      <c r="D56" s="722"/>
      <c r="E56" s="722"/>
    </row>
    <row r="57" spans="1:5">
      <c r="A57" s="714"/>
      <c r="B57" s="718"/>
      <c r="C57" s="722"/>
      <c r="D57" s="722"/>
      <c r="E57" s="722"/>
    </row>
    <row r="58" spans="1:5">
      <c r="A58" s="714"/>
      <c r="B58" s="718"/>
      <c r="C58" s="722"/>
      <c r="D58" s="722"/>
      <c r="E58" s="722"/>
    </row>
    <row r="59" spans="1:5">
      <c r="A59" s="714"/>
      <c r="B59" s="718"/>
      <c r="C59" s="722"/>
      <c r="D59" s="722"/>
      <c r="E59" s="722"/>
    </row>
  </sheetData>
  <mergeCells count="1">
    <mergeCell ref="B26:D26"/>
  </mergeCells>
  <phoneticPr fontId="17" type="noConversion"/>
  <printOptions horizontalCentered="1"/>
  <pageMargins left="0.5" right="0.5" top="0" bottom="0.25" header="0.5" footer="0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F86"/>
  <sheetViews>
    <sheetView zoomScale="88" zoomScaleNormal="88" workbookViewId="0">
      <pane xSplit="2" ySplit="15" topLeftCell="AK31" activePane="bottomRight" state="frozen"/>
      <selection activeCell="D12" sqref="D12"/>
      <selection pane="topRight" activeCell="D12" sqref="D12"/>
      <selection pane="bottomLeft" activeCell="D12" sqref="D12"/>
      <selection pane="bottomRight" activeCell="P11" sqref="P11"/>
    </sheetView>
  </sheetViews>
  <sheetFormatPr defaultColWidth="10.6640625" defaultRowHeight="12.75"/>
  <cols>
    <col min="1" max="1" width="7.33203125" style="113" customWidth="1"/>
    <col min="2" max="2" width="55.83203125" style="7" bestFit="1" customWidth="1"/>
    <col min="3" max="3" width="17.33203125" style="7" customWidth="1"/>
    <col min="4" max="4" width="16.33203125" style="7" customWidth="1"/>
    <col min="5" max="5" width="18.1640625" style="7" customWidth="1"/>
    <col min="6" max="6" width="16.33203125" style="7" customWidth="1"/>
    <col min="7" max="7" width="19.5" style="7" customWidth="1"/>
    <col min="8" max="8" width="16.6640625" style="7" customWidth="1"/>
    <col min="9" max="9" width="22.1640625" style="7" customWidth="1"/>
    <col min="10" max="10" width="19.1640625" style="7" customWidth="1"/>
    <col min="11" max="11" width="18.5" style="7" customWidth="1"/>
    <col min="12" max="12" width="16.33203125" style="7" customWidth="1"/>
    <col min="13" max="13" width="17.33203125" style="7" customWidth="1"/>
    <col min="14" max="14" width="17.1640625" style="7" customWidth="1"/>
    <col min="15" max="15" width="19.83203125" style="7" customWidth="1"/>
    <col min="16" max="16" width="22.5" style="7" customWidth="1"/>
    <col min="17" max="17" width="21.5" style="7" customWidth="1"/>
    <col min="18" max="18" width="22.6640625" style="7" customWidth="1"/>
    <col min="19" max="19" width="19.83203125" style="7" customWidth="1"/>
    <col min="20" max="20" width="25.6640625" style="7" customWidth="1"/>
    <col min="21" max="21" width="15.1640625" style="7" customWidth="1"/>
    <col min="22" max="22" width="20" style="7" customWidth="1"/>
    <col min="23" max="23" width="14.6640625" style="7" customWidth="1"/>
    <col min="24" max="24" width="14" style="7" customWidth="1"/>
    <col min="25" max="25" width="16.33203125" style="7" customWidth="1"/>
    <col min="26" max="26" width="19.1640625" style="7" customWidth="1"/>
    <col min="27" max="27" width="18.33203125" style="7" customWidth="1"/>
    <col min="28" max="29" width="22.5" style="7" customWidth="1"/>
    <col min="30" max="30" width="16.1640625" style="7" customWidth="1"/>
    <col min="31" max="31" width="24.6640625" style="7" customWidth="1"/>
    <col min="32" max="32" width="18.83203125" style="7" customWidth="1"/>
    <col min="33" max="33" width="19.1640625" style="7" customWidth="1"/>
    <col min="34" max="34" width="15.33203125" style="7" customWidth="1"/>
    <col min="35" max="35" width="18.33203125" style="7" customWidth="1"/>
    <col min="36" max="37" width="19.1640625" style="7" customWidth="1"/>
    <col min="38" max="38" width="19" style="7" customWidth="1"/>
    <col min="39" max="39" width="20.83203125" style="7" customWidth="1"/>
    <col min="40" max="40" width="25" style="7" customWidth="1"/>
    <col min="41" max="41" width="22.5" style="7" customWidth="1"/>
    <col min="42" max="42" width="25" style="7" customWidth="1"/>
    <col min="43" max="43" width="18.1640625" style="7" bestFit="1" customWidth="1"/>
    <col min="44" max="44" width="19.6640625" style="112" customWidth="1"/>
    <col min="45" max="45" width="2.83203125" style="7" customWidth="1"/>
    <col min="46" max="46" width="13.83203125" bestFit="1" customWidth="1"/>
    <col min="47" max="16384" width="10.6640625" style="317"/>
  </cols>
  <sheetData>
    <row r="1" spans="1:46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1091"/>
      <c r="AL1" s="275"/>
      <c r="AM1" s="275"/>
      <c r="AN1" s="275"/>
      <c r="AO1" s="275"/>
      <c r="AP1" s="275"/>
      <c r="AQ1" s="275"/>
      <c r="AR1" s="275"/>
      <c r="AS1" s="275"/>
      <c r="AT1" s="275"/>
    </row>
    <row r="2" spans="1:46" ht="13.5" thickBot="1">
      <c r="A2" s="16"/>
      <c r="K2" s="1" t="str">
        <f>DocketNumber</f>
        <v>Docket Number UE-111048</v>
      </c>
      <c r="T2" s="1" t="str">
        <f>DocketNumber</f>
        <v>Docket Number UE-111048</v>
      </c>
      <c r="AD2" s="1" t="str">
        <f>DocketNumber</f>
        <v>Docket Number UE-111048</v>
      </c>
      <c r="AL2" s="33"/>
      <c r="AM2" s="1" t="str">
        <f>DocketNumber</f>
        <v>Docket Number UE-111048</v>
      </c>
      <c r="AR2" s="1" t="s">
        <v>633</v>
      </c>
    </row>
    <row r="3" spans="1:46" ht="13.5" thickBot="1">
      <c r="A3" s="16"/>
      <c r="D3" s="118"/>
      <c r="E3" s="118"/>
      <c r="I3" s="1477" t="s">
        <v>1491</v>
      </c>
      <c r="J3" s="118"/>
      <c r="K3" s="744" t="str">
        <f>Exhibit_No.______JHS_4</f>
        <v>Exhibit No. ___ (JHS-19)</v>
      </c>
      <c r="P3" s="118"/>
      <c r="R3" s="1477" t="s">
        <v>1491</v>
      </c>
      <c r="S3" s="118"/>
      <c r="T3" s="1" t="str">
        <f>Exhibit_No.______JHS_4</f>
        <v>Exhibit No. ___ (JHS-19)</v>
      </c>
      <c r="U3" s="118"/>
      <c r="Y3" s="118"/>
      <c r="AA3" s="16"/>
      <c r="AB3" s="16" t="s">
        <v>1491</v>
      </c>
      <c r="AD3" s="1" t="str">
        <f>Exhibit_No.______JHS_4</f>
        <v>Exhibit No. ___ (JHS-19)</v>
      </c>
      <c r="AE3" s="118"/>
      <c r="AH3" s="118"/>
      <c r="AK3" s="16" t="s">
        <v>1491</v>
      </c>
      <c r="AL3" s="118"/>
      <c r="AM3" s="1" t="str">
        <f>Exhibit_No.______JHS_4</f>
        <v>Exhibit No. ___ (JHS-19)</v>
      </c>
      <c r="AP3" s="16" t="s">
        <v>1491</v>
      </c>
      <c r="AR3" s="1" t="s">
        <v>1358</v>
      </c>
    </row>
    <row r="4" spans="1:46" ht="13.5" thickBot="1">
      <c r="A4" s="16"/>
      <c r="B4" s="16"/>
      <c r="C4" s="16"/>
      <c r="D4" s="16"/>
      <c r="E4" s="16"/>
      <c r="H4" s="16"/>
      <c r="J4" s="16"/>
      <c r="K4" s="744" t="s">
        <v>1359</v>
      </c>
      <c r="N4" s="16"/>
      <c r="P4" s="16"/>
      <c r="R4" s="16"/>
      <c r="S4" s="16"/>
      <c r="T4" s="744" t="s">
        <v>1360</v>
      </c>
      <c r="U4" s="16"/>
      <c r="Y4" s="16"/>
      <c r="AA4" s="16"/>
      <c r="AB4" s="16"/>
      <c r="AD4" s="457" t="s">
        <v>1361</v>
      </c>
      <c r="AE4" s="16"/>
      <c r="AH4" s="16"/>
      <c r="AI4" s="16"/>
      <c r="AM4" s="457" t="s">
        <v>1362</v>
      </c>
      <c r="AN4" s="16"/>
      <c r="AO4" s="16"/>
      <c r="AP4" s="16"/>
      <c r="AQ4" s="51"/>
      <c r="AR4" s="457" t="s">
        <v>1363</v>
      </c>
      <c r="AS4" s="16"/>
    </row>
    <row r="5" spans="1:46">
      <c r="A5" s="84"/>
      <c r="B5" s="317"/>
      <c r="C5" s="17" t="s">
        <v>1235</v>
      </c>
      <c r="D5" s="17"/>
      <c r="E5" s="34"/>
      <c r="F5" s="17"/>
      <c r="G5" s="17"/>
      <c r="H5" s="71"/>
      <c r="I5" s="71"/>
      <c r="J5" s="71"/>
      <c r="K5" s="71"/>
      <c r="L5" s="71" t="str">
        <f>C5</f>
        <v>PUGET SOUND ENERGY-ELECTRIC</v>
      </c>
      <c r="M5" s="71"/>
      <c r="N5" s="71"/>
      <c r="O5" s="71"/>
      <c r="P5" s="71"/>
      <c r="Q5" s="71"/>
      <c r="R5" s="71"/>
      <c r="S5" s="71"/>
      <c r="T5" s="71"/>
      <c r="U5" s="17" t="str">
        <f>L5</f>
        <v>PUGET SOUND ENERGY-ELECTRIC</v>
      </c>
      <c r="V5" s="17"/>
      <c r="W5" s="34"/>
      <c r="X5" s="17"/>
      <c r="Y5" s="34"/>
      <c r="Z5" s="17"/>
      <c r="AA5" s="34"/>
      <c r="AB5" s="17"/>
      <c r="AC5" s="17"/>
      <c r="AD5" s="34"/>
      <c r="AE5" s="71" t="str">
        <f>U5</f>
        <v>PUGET SOUND ENERGY-ELECTRIC</v>
      </c>
      <c r="AF5" s="17"/>
      <c r="AG5" s="34"/>
      <c r="AH5" s="34"/>
      <c r="AI5" s="71"/>
      <c r="AJ5" s="71"/>
      <c r="AK5" s="71"/>
      <c r="AL5" s="34"/>
      <c r="AM5" s="17"/>
      <c r="AN5" s="120"/>
      <c r="AO5" s="120"/>
      <c r="AP5" s="120"/>
      <c r="AQ5" s="51"/>
      <c r="AR5" s="51"/>
      <c r="AS5" s="120"/>
    </row>
    <row r="6" spans="1:46">
      <c r="A6" s="84"/>
      <c r="B6" s="317"/>
      <c r="C6" s="17" t="s">
        <v>231</v>
      </c>
      <c r="D6" s="17"/>
      <c r="E6" s="34"/>
      <c r="F6" s="17"/>
      <c r="G6" s="17"/>
      <c r="H6" s="71"/>
      <c r="I6" s="17"/>
      <c r="J6" s="71"/>
      <c r="K6" s="71"/>
      <c r="L6" s="71" t="str">
        <f>$C$6</f>
        <v>STATEMENT OF OPERATING INCOME AND ADJUSTMENTS</v>
      </c>
      <c r="M6" s="71"/>
      <c r="N6" s="71"/>
      <c r="O6" s="71"/>
      <c r="P6" s="71"/>
      <c r="Q6" s="71"/>
      <c r="R6" s="71"/>
      <c r="S6" s="71"/>
      <c r="T6" s="71"/>
      <c r="U6" s="17" t="str">
        <f>$C$6</f>
        <v>STATEMENT OF OPERATING INCOME AND ADJUSTMENTS</v>
      </c>
      <c r="V6" s="17"/>
      <c r="W6" s="34"/>
      <c r="X6" s="17"/>
      <c r="Y6" s="34"/>
      <c r="Z6" s="17"/>
      <c r="AA6" s="34"/>
      <c r="AB6" s="17"/>
      <c r="AC6" s="17"/>
      <c r="AD6" s="34"/>
      <c r="AE6" s="17" t="str">
        <f>$C$6</f>
        <v>STATEMENT OF OPERATING INCOME AND ADJUSTMENTS</v>
      </c>
      <c r="AF6" s="17"/>
      <c r="AG6" s="34"/>
      <c r="AH6" s="34"/>
      <c r="AI6" s="71"/>
      <c r="AJ6" s="71"/>
      <c r="AK6" s="71"/>
      <c r="AL6" s="34"/>
      <c r="AM6" s="17"/>
      <c r="AN6" s="71" t="s">
        <v>1235</v>
      </c>
      <c r="AO6" s="71"/>
      <c r="AP6" s="71"/>
      <c r="AQ6" s="71"/>
      <c r="AR6" s="71"/>
      <c r="AS6" s="120"/>
    </row>
    <row r="7" spans="1:46">
      <c r="A7" s="84"/>
      <c r="B7" s="317"/>
      <c r="C7" s="17" t="str">
        <f>TESTYEAR</f>
        <v>FOR THE TWELVE MONTHS ENDED DECEMBER 31, 2010</v>
      </c>
      <c r="D7" s="17"/>
      <c r="E7" s="34"/>
      <c r="F7" s="17"/>
      <c r="G7" s="17"/>
      <c r="H7" s="71"/>
      <c r="I7" s="17"/>
      <c r="J7" s="71"/>
      <c r="K7" s="71"/>
      <c r="L7" s="71" t="str">
        <f>C7</f>
        <v>FOR THE TWELVE MONTHS ENDED DECEMBER 31, 2010</v>
      </c>
      <c r="M7" s="71"/>
      <c r="N7" s="71"/>
      <c r="O7" s="71"/>
      <c r="P7" s="71"/>
      <c r="Q7" s="71"/>
      <c r="R7" s="71"/>
      <c r="S7" s="71"/>
      <c r="T7" s="71"/>
      <c r="U7" s="17" t="str">
        <f>L7</f>
        <v>FOR THE TWELVE MONTHS ENDED DECEMBER 31, 2010</v>
      </c>
      <c r="V7" s="17"/>
      <c r="W7" s="34"/>
      <c r="X7" s="17"/>
      <c r="Y7" s="34"/>
      <c r="Z7" s="17"/>
      <c r="AA7" s="34"/>
      <c r="AB7" s="17"/>
      <c r="AC7" s="17"/>
      <c r="AD7" s="34"/>
      <c r="AE7" s="71" t="str">
        <f>U7</f>
        <v>FOR THE TWELVE MONTHS ENDED DECEMBER 31, 2010</v>
      </c>
      <c r="AF7" s="17"/>
      <c r="AG7" s="34"/>
      <c r="AH7" s="34"/>
      <c r="AI7" s="71"/>
      <c r="AJ7" s="71"/>
      <c r="AK7" s="71"/>
      <c r="AL7" s="34"/>
      <c r="AM7" s="17"/>
      <c r="AN7" s="71" t="s">
        <v>232</v>
      </c>
      <c r="AO7" s="71"/>
      <c r="AP7" s="71"/>
      <c r="AQ7" s="71"/>
      <c r="AR7" s="71"/>
      <c r="AS7" s="120"/>
    </row>
    <row r="8" spans="1:46">
      <c r="A8" s="16"/>
      <c r="B8" s="243"/>
      <c r="C8" s="243" t="s">
        <v>563</v>
      </c>
      <c r="D8" s="243"/>
      <c r="E8" s="34"/>
      <c r="F8" s="243"/>
      <c r="G8" s="243"/>
      <c r="H8" s="243"/>
      <c r="I8" s="243"/>
      <c r="J8" s="243"/>
      <c r="K8" s="243"/>
      <c r="L8" s="243" t="s">
        <v>564</v>
      </c>
      <c r="M8" s="243"/>
      <c r="N8" s="243"/>
      <c r="O8" s="243"/>
      <c r="P8" s="243"/>
      <c r="Q8" s="243"/>
      <c r="R8" s="243"/>
      <c r="S8" s="243"/>
      <c r="T8" s="243"/>
      <c r="U8" s="243" t="s">
        <v>565</v>
      </c>
      <c r="V8" s="243"/>
      <c r="W8" s="34"/>
      <c r="X8" s="243"/>
      <c r="Y8" s="34"/>
      <c r="Z8" s="243"/>
      <c r="AA8" s="34"/>
      <c r="AB8" s="243"/>
      <c r="AC8" s="243"/>
      <c r="AD8" s="34"/>
      <c r="AE8" s="243" t="s">
        <v>566</v>
      </c>
      <c r="AF8" s="243"/>
      <c r="AG8" s="34"/>
      <c r="AH8" s="34"/>
      <c r="AI8" s="243"/>
      <c r="AJ8" s="243"/>
      <c r="AK8" s="243"/>
      <c r="AL8" s="34"/>
      <c r="AM8" s="243"/>
      <c r="AN8" s="451" t="s">
        <v>521</v>
      </c>
      <c r="AO8" s="451"/>
      <c r="AP8" s="451"/>
      <c r="AQ8" s="451"/>
      <c r="AR8" s="451"/>
      <c r="AS8" s="16"/>
    </row>
    <row r="9" spans="1:46" ht="13.5">
      <c r="A9" s="84"/>
      <c r="B9" s="16"/>
      <c r="C9" s="4"/>
      <c r="D9" s="1135" t="s">
        <v>503</v>
      </c>
      <c r="E9" s="1135" t="s">
        <v>503</v>
      </c>
      <c r="F9" s="1135" t="s">
        <v>503</v>
      </c>
      <c r="G9" s="1135" t="s">
        <v>503</v>
      </c>
      <c r="H9" s="1135"/>
      <c r="I9" s="4"/>
      <c r="J9" s="4"/>
      <c r="K9" s="51"/>
      <c r="L9" s="51"/>
      <c r="M9" s="1135" t="s">
        <v>503</v>
      </c>
      <c r="N9" s="1135" t="s">
        <v>503</v>
      </c>
      <c r="O9" s="1135" t="s">
        <v>503</v>
      </c>
      <c r="P9" s="4"/>
      <c r="Q9" s="1135"/>
      <c r="R9" s="51"/>
      <c r="S9" s="4"/>
      <c r="T9" s="1194" t="s">
        <v>503</v>
      </c>
      <c r="U9" s="1194"/>
      <c r="V9" s="51"/>
      <c r="W9" s="51"/>
      <c r="X9" s="4"/>
      <c r="Y9" s="51"/>
      <c r="Z9" s="1194" t="s">
        <v>503</v>
      </c>
      <c r="AA9" s="4"/>
      <c r="AB9" s="4"/>
      <c r="AC9" s="4"/>
      <c r="AD9" s="51"/>
      <c r="AE9" s="4"/>
      <c r="AF9" s="4"/>
      <c r="AG9" s="4"/>
      <c r="AH9" s="1194"/>
      <c r="AI9" s="1194"/>
      <c r="AJ9" s="1194"/>
      <c r="AK9" s="4"/>
      <c r="AL9" s="1194" t="s">
        <v>503</v>
      </c>
      <c r="AM9" s="1194" t="s">
        <v>503</v>
      </c>
      <c r="AN9" s="451"/>
      <c r="AO9" s="451"/>
      <c r="AP9" s="451"/>
      <c r="AQ9" s="451"/>
      <c r="AR9" s="451"/>
      <c r="AS9" s="16"/>
    </row>
    <row r="10" spans="1:46">
      <c r="A10" s="121"/>
      <c r="B10" s="32"/>
      <c r="C10" s="32"/>
      <c r="D10" s="32" t="s">
        <v>1152</v>
      </c>
      <c r="E10" s="32"/>
      <c r="F10" s="32"/>
      <c r="G10" s="32"/>
      <c r="H10" s="85"/>
      <c r="I10" s="32"/>
      <c r="J10" s="32"/>
      <c r="K10" s="8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85"/>
      <c r="X10" s="32"/>
      <c r="Y10" s="32"/>
      <c r="Z10" s="32"/>
      <c r="AA10" s="32"/>
      <c r="AB10" s="32"/>
      <c r="AC10" s="32"/>
      <c r="AD10" s="85"/>
      <c r="AE10" s="32"/>
      <c r="AF10" s="32"/>
      <c r="AG10" s="32"/>
      <c r="AH10" s="32"/>
      <c r="AI10" s="32"/>
      <c r="AJ10" s="32"/>
      <c r="AK10" s="32"/>
      <c r="AL10" s="32"/>
      <c r="AM10" s="32"/>
      <c r="AN10" s="16"/>
      <c r="AO10" s="16"/>
      <c r="AP10" s="16"/>
      <c r="AQ10" s="16"/>
      <c r="AR10" s="16"/>
      <c r="AS10" s="16"/>
    </row>
    <row r="11" spans="1:46" ht="13.5">
      <c r="A11" s="121"/>
      <c r="B11" s="32"/>
      <c r="C11" s="32"/>
      <c r="D11" s="32" t="s">
        <v>1425</v>
      </c>
      <c r="E11" s="570"/>
      <c r="F11" s="570"/>
      <c r="G11" s="570"/>
      <c r="I11" s="32"/>
      <c r="J11" s="32" t="s">
        <v>1424</v>
      </c>
      <c r="K11" s="572"/>
      <c r="L11" s="572"/>
      <c r="M11" s="570"/>
      <c r="N11"/>
      <c r="O11"/>
      <c r="P11" s="32"/>
      <c r="Q11" s="570"/>
      <c r="R11" s="32"/>
      <c r="S11" s="570"/>
      <c r="T11" s="570"/>
      <c r="U11" s="32"/>
      <c r="V11" s="32"/>
      <c r="W11" s="572"/>
      <c r="X11" s="32"/>
      <c r="Y11" s="32"/>
      <c r="Z11" s="32"/>
      <c r="AA11" s="32"/>
      <c r="AB11" s="32"/>
      <c r="AC11" s="32"/>
      <c r="AD11" s="85"/>
      <c r="AE11" s="32"/>
      <c r="AF11" s="32"/>
      <c r="AG11" s="32"/>
      <c r="AH11" s="32"/>
      <c r="AI11" s="32"/>
      <c r="AJ11" s="32"/>
      <c r="AK11" s="572"/>
      <c r="AL11" s="570"/>
      <c r="AM11" s="570"/>
      <c r="AN11"/>
      <c r="AO11" s="1135" t="s">
        <v>503</v>
      </c>
      <c r="AP11" s="1135" t="s">
        <v>503</v>
      </c>
      <c r="AQ11" s="1135" t="s">
        <v>503</v>
      </c>
      <c r="AR11" s="1135" t="s">
        <v>503</v>
      </c>
      <c r="AS11" s="16"/>
      <c r="AT11" s="1135"/>
    </row>
    <row r="12" spans="1:46">
      <c r="A12" s="121"/>
      <c r="B12" s="16"/>
      <c r="C12" s="4" t="s">
        <v>1178</v>
      </c>
      <c r="D12" s="4" t="s">
        <v>1165</v>
      </c>
      <c r="E12" s="4" t="s">
        <v>976</v>
      </c>
      <c r="F12" s="4" t="s">
        <v>702</v>
      </c>
      <c r="G12" s="4" t="s">
        <v>703</v>
      </c>
      <c r="H12" s="4" t="s">
        <v>424</v>
      </c>
      <c r="I12" s="4" t="s">
        <v>282</v>
      </c>
      <c r="J12" s="4" t="s">
        <v>1176</v>
      </c>
      <c r="K12" s="4" t="s">
        <v>704</v>
      </c>
      <c r="L12" s="4" t="s">
        <v>705</v>
      </c>
      <c r="M12" s="4" t="s">
        <v>836</v>
      </c>
      <c r="N12" s="4" t="s">
        <v>1174</v>
      </c>
      <c r="O12" s="1004" t="s">
        <v>1309</v>
      </c>
      <c r="P12" s="4" t="s">
        <v>583</v>
      </c>
      <c r="Q12" s="4" t="s">
        <v>330</v>
      </c>
      <c r="R12" s="4" t="s">
        <v>833</v>
      </c>
      <c r="S12" s="4" t="s">
        <v>1166</v>
      </c>
      <c r="T12" s="4" t="s">
        <v>1275</v>
      </c>
      <c r="U12" s="4" t="s">
        <v>706</v>
      </c>
      <c r="V12" s="4" t="s">
        <v>495</v>
      </c>
      <c r="W12" s="4" t="s">
        <v>775</v>
      </c>
      <c r="X12" s="25" t="s">
        <v>1167</v>
      </c>
      <c r="Y12" s="4" t="s">
        <v>169</v>
      </c>
      <c r="Z12" s="25" t="s">
        <v>1168</v>
      </c>
      <c r="AA12" s="4" t="s">
        <v>779</v>
      </c>
      <c r="AB12" s="4" t="s">
        <v>698</v>
      </c>
      <c r="AC12" s="4" t="s">
        <v>1169</v>
      </c>
      <c r="AD12" s="4" t="s">
        <v>1177</v>
      </c>
      <c r="AE12" s="4" t="s">
        <v>889</v>
      </c>
      <c r="AF12" s="4" t="s">
        <v>1251</v>
      </c>
      <c r="AG12" s="4" t="s">
        <v>1257</v>
      </c>
      <c r="AH12" s="4" t="s">
        <v>1256</v>
      </c>
      <c r="AI12" s="4" t="s">
        <v>1173</v>
      </c>
      <c r="AJ12" s="4" t="s">
        <v>1172</v>
      </c>
      <c r="AK12" s="4" t="s">
        <v>1372</v>
      </c>
      <c r="AL12" s="4" t="s">
        <v>335</v>
      </c>
      <c r="AM12" s="4" t="s">
        <v>1232</v>
      </c>
      <c r="AN12" s="4"/>
      <c r="AO12" s="4"/>
      <c r="AP12" s="4" t="s">
        <v>1232</v>
      </c>
      <c r="AQ12" s="4" t="s">
        <v>523</v>
      </c>
      <c r="AR12" s="4" t="s">
        <v>1234</v>
      </c>
      <c r="AS12" s="16"/>
    </row>
    <row r="13" spans="1:46">
      <c r="A13" s="89" t="s">
        <v>1153</v>
      </c>
      <c r="B13" s="16"/>
      <c r="C13" s="4" t="s">
        <v>349</v>
      </c>
      <c r="D13" s="4" t="s">
        <v>337</v>
      </c>
      <c r="E13" s="4" t="s">
        <v>977</v>
      </c>
      <c r="F13" s="4" t="s">
        <v>701</v>
      </c>
      <c r="G13" s="24" t="s">
        <v>344</v>
      </c>
      <c r="H13" s="4" t="s">
        <v>425</v>
      </c>
      <c r="I13" s="4" t="s">
        <v>278</v>
      </c>
      <c r="J13" s="4" t="s">
        <v>347</v>
      </c>
      <c r="K13" s="4" t="s">
        <v>164</v>
      </c>
      <c r="L13" s="4" t="s">
        <v>463</v>
      </c>
      <c r="M13" s="4" t="s">
        <v>767</v>
      </c>
      <c r="N13" s="4" t="s">
        <v>327</v>
      </c>
      <c r="O13" s="1004" t="s">
        <v>1310</v>
      </c>
      <c r="P13" s="4" t="s">
        <v>597</v>
      </c>
      <c r="Q13" s="4" t="s">
        <v>826</v>
      </c>
      <c r="R13" s="4" t="s">
        <v>834</v>
      </c>
      <c r="S13" s="24" t="s">
        <v>338</v>
      </c>
      <c r="T13" s="24" t="s">
        <v>1276</v>
      </c>
      <c r="U13" s="4" t="s">
        <v>348</v>
      </c>
      <c r="V13" s="4" t="s">
        <v>1283</v>
      </c>
      <c r="W13" s="4" t="s">
        <v>776</v>
      </c>
      <c r="X13" s="25" t="s">
        <v>340</v>
      </c>
      <c r="Y13" s="4" t="s">
        <v>168</v>
      </c>
      <c r="Z13" s="68" t="s">
        <v>342</v>
      </c>
      <c r="AA13" s="24" t="s">
        <v>780</v>
      </c>
      <c r="AB13" s="24" t="s">
        <v>339</v>
      </c>
      <c r="AC13" s="24" t="s">
        <v>343</v>
      </c>
      <c r="AD13" s="4" t="s">
        <v>348</v>
      </c>
      <c r="AE13" s="4" t="s">
        <v>1255</v>
      </c>
      <c r="AF13" s="69" t="s">
        <v>1252</v>
      </c>
      <c r="AG13" s="4" t="s">
        <v>346</v>
      </c>
      <c r="AH13" s="4" t="s">
        <v>1154</v>
      </c>
      <c r="AI13" s="4" t="s">
        <v>346</v>
      </c>
      <c r="AJ13" s="4" t="s">
        <v>339</v>
      </c>
      <c r="AK13" s="4" t="s">
        <v>47</v>
      </c>
      <c r="AL13" s="51" t="s">
        <v>569</v>
      </c>
      <c r="AM13" s="4" t="s">
        <v>349</v>
      </c>
      <c r="AN13" s="4" t="s">
        <v>1221</v>
      </c>
      <c r="AO13" s="4" t="s">
        <v>335</v>
      </c>
      <c r="AP13" s="4" t="s">
        <v>349</v>
      </c>
      <c r="AQ13" s="4" t="s">
        <v>1233</v>
      </c>
      <c r="AR13" s="4" t="s">
        <v>351</v>
      </c>
      <c r="AS13" s="4"/>
    </row>
    <row r="14" spans="1:46">
      <c r="A14" s="89" t="s">
        <v>1179</v>
      </c>
      <c r="B14" s="16"/>
      <c r="C14" s="4" t="s">
        <v>5</v>
      </c>
      <c r="D14" s="14">
        <v>20.010000000000002</v>
      </c>
      <c r="E14" s="14">
        <f t="shared" ref="E14:K14" si="0">D14+0.01</f>
        <v>20.020000000000003</v>
      </c>
      <c r="F14" s="14">
        <f t="shared" si="0"/>
        <v>20.030000000000005</v>
      </c>
      <c r="G14" s="14">
        <f t="shared" si="0"/>
        <v>20.040000000000006</v>
      </c>
      <c r="H14" s="14">
        <f t="shared" si="0"/>
        <v>20.050000000000008</v>
      </c>
      <c r="I14" s="14">
        <f t="shared" si="0"/>
        <v>20.060000000000009</v>
      </c>
      <c r="J14" s="14">
        <f t="shared" si="0"/>
        <v>20.070000000000011</v>
      </c>
      <c r="K14" s="14">
        <f t="shared" si="0"/>
        <v>20.080000000000013</v>
      </c>
      <c r="L14" s="14">
        <f>K14+0.01</f>
        <v>20.090000000000014</v>
      </c>
      <c r="M14" s="14">
        <f>L14+0.01</f>
        <v>20.100000000000016</v>
      </c>
      <c r="N14" s="14">
        <f>M14+0.01</f>
        <v>20.110000000000017</v>
      </c>
      <c r="O14" s="14">
        <f>N14+0.01</f>
        <v>20.120000000000019</v>
      </c>
      <c r="P14" s="14">
        <v>21.01</v>
      </c>
      <c r="Q14" s="14">
        <f>P14+0.01</f>
        <v>21.020000000000003</v>
      </c>
      <c r="R14" s="14">
        <f>Q14+0.01</f>
        <v>21.030000000000005</v>
      </c>
      <c r="S14" s="14">
        <f>R14+0.01</f>
        <v>21.040000000000006</v>
      </c>
      <c r="T14" s="14">
        <f>S14+0.01</f>
        <v>21.050000000000008</v>
      </c>
      <c r="U14" s="14">
        <f>T14+0.01</f>
        <v>21.060000000000009</v>
      </c>
      <c r="V14" s="14">
        <f t="shared" ref="V14:AI14" si="1">U14+0.01</f>
        <v>21.070000000000011</v>
      </c>
      <c r="W14" s="14">
        <f t="shared" si="1"/>
        <v>21.080000000000013</v>
      </c>
      <c r="X14" s="14">
        <f t="shared" si="1"/>
        <v>21.090000000000014</v>
      </c>
      <c r="Y14" s="14">
        <f t="shared" si="1"/>
        <v>21.100000000000016</v>
      </c>
      <c r="Z14" s="14">
        <f t="shared" si="1"/>
        <v>21.110000000000017</v>
      </c>
      <c r="AA14" s="14">
        <f t="shared" si="1"/>
        <v>21.120000000000019</v>
      </c>
      <c r="AB14" s="14">
        <f t="shared" si="1"/>
        <v>21.13000000000002</v>
      </c>
      <c r="AC14" s="14">
        <f t="shared" si="1"/>
        <v>21.140000000000022</v>
      </c>
      <c r="AD14" s="14">
        <f t="shared" si="1"/>
        <v>21.150000000000023</v>
      </c>
      <c r="AE14" s="14">
        <f t="shared" si="1"/>
        <v>21.160000000000025</v>
      </c>
      <c r="AF14" s="14">
        <f t="shared" si="1"/>
        <v>21.170000000000027</v>
      </c>
      <c r="AG14" s="14">
        <f t="shared" si="1"/>
        <v>21.180000000000028</v>
      </c>
      <c r="AH14" s="14">
        <f t="shared" si="1"/>
        <v>21.19000000000003</v>
      </c>
      <c r="AI14" s="14">
        <f t="shared" si="1"/>
        <v>21.200000000000031</v>
      </c>
      <c r="AJ14" s="14">
        <f>AI14+0.01</f>
        <v>21.210000000000033</v>
      </c>
      <c r="AK14" s="14">
        <f>AJ14+0.01</f>
        <v>21.220000000000034</v>
      </c>
      <c r="AL14" s="51"/>
      <c r="AM14" s="51" t="s">
        <v>350</v>
      </c>
      <c r="AN14" s="51" t="s">
        <v>1222</v>
      </c>
      <c r="AO14" s="51" t="s">
        <v>569</v>
      </c>
      <c r="AP14" s="51" t="s">
        <v>350</v>
      </c>
      <c r="AQ14" s="51" t="str">
        <f>IF(AQ21&lt;0,"SURPLUS","DEFICIENCY")</f>
        <v>DEFICIENCY</v>
      </c>
      <c r="AR14" s="51" t="str">
        <f>IF(AQ21&lt;0,"DECREASE","INCREASE")</f>
        <v>INCREASE</v>
      </c>
      <c r="AS14" s="4"/>
    </row>
    <row r="15" spans="1:46" ht="13.5" thickBot="1">
      <c r="A15" s="93" t="s">
        <v>353</v>
      </c>
      <c r="B15" s="13"/>
      <c r="C15" s="9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51"/>
    </row>
    <row r="16" spans="1:46" s="1309" customFormat="1">
      <c r="A16" s="8">
        <v>1</v>
      </c>
      <c r="B16" s="9" t="s">
        <v>361</v>
      </c>
      <c r="C16" s="54"/>
      <c r="D16" s="110"/>
      <c r="E16" s="110"/>
      <c r="F16" s="110"/>
      <c r="G16" s="1242"/>
      <c r="H16" s="1242"/>
      <c r="I16" s="9"/>
      <c r="J16" s="110"/>
      <c r="K16" s="1242"/>
      <c r="L16" s="110"/>
      <c r="M16" s="110"/>
      <c r="N16" s="8"/>
      <c r="O16" s="1310"/>
      <c r="P16" s="110"/>
      <c r="Q16" s="110"/>
      <c r="R16" s="110"/>
      <c r="S16" s="110"/>
      <c r="T16" s="110"/>
      <c r="U16" s="1242"/>
      <c r="V16" s="110"/>
      <c r="W16" s="1242"/>
      <c r="X16" s="125"/>
      <c r="Y16" s="110"/>
      <c r="Z16" s="1242"/>
      <c r="AA16" s="110"/>
      <c r="AB16" s="110"/>
      <c r="AC16" s="110"/>
      <c r="AD16" s="1242"/>
      <c r="AE16" s="110"/>
      <c r="AF16" s="1242"/>
      <c r="AG16" s="1242"/>
      <c r="AH16" s="110"/>
      <c r="AI16" s="1242"/>
      <c r="AJ16" s="1242"/>
      <c r="AK16" s="1242"/>
      <c r="AL16" s="1242"/>
      <c r="AM16" s="110"/>
      <c r="AN16" s="1242"/>
      <c r="AO16" s="1242"/>
      <c r="AP16" s="1242"/>
      <c r="AQ16" s="1242"/>
      <c r="AR16" s="1242"/>
      <c r="AS16" s="1242"/>
      <c r="AT16" s="450" t="s">
        <v>599</v>
      </c>
    </row>
    <row r="17" spans="1:58" s="1309" customFormat="1" ht="14.25" thickBot="1">
      <c r="A17" s="8">
        <f t="shared" ref="A17:A62" si="2">A16+1</f>
        <v>2</v>
      </c>
      <c r="B17" s="9" t="s">
        <v>1069</v>
      </c>
      <c r="C17" s="57">
        <v>2042334319.1199901</v>
      </c>
      <c r="D17" s="57">
        <v>0</v>
      </c>
      <c r="E17" s="57"/>
      <c r="F17" s="57"/>
      <c r="G17" s="57">
        <v>0</v>
      </c>
      <c r="H17" s="57"/>
      <c r="I17" s="57">
        <v>0</v>
      </c>
      <c r="J17" s="57">
        <v>0</v>
      </c>
      <c r="K17" s="57"/>
      <c r="L17" s="57"/>
      <c r="M17" s="57">
        <v>0</v>
      </c>
      <c r="N17" s="57">
        <v>0</v>
      </c>
      <c r="O17" s="740"/>
      <c r="P17" s="57">
        <f>+'JHS-21'!G41-P18</f>
        <v>20893333.041821491</v>
      </c>
      <c r="Q17" s="57">
        <f>'JHS-21'!L29</f>
        <v>-7338699.6076134508</v>
      </c>
      <c r="R17" s="57">
        <f>-('JHS-21'!Q23-'JHS-21'!Q19-'JHS-21'!Q21-'JHS-21'!Q22)</f>
        <v>-78775415.694639385</v>
      </c>
      <c r="S17" s="57">
        <v>0</v>
      </c>
      <c r="T17" s="57">
        <v>0</v>
      </c>
      <c r="U17" s="57">
        <v>0</v>
      </c>
      <c r="V17" s="57">
        <v>0</v>
      </c>
      <c r="W17" s="57"/>
      <c r="X17" s="57">
        <v>0</v>
      </c>
      <c r="Y17" s="57"/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/>
      <c r="AL17" s="57">
        <f>SUM(D17:AK17)</f>
        <v>-65220782.260431349</v>
      </c>
      <c r="AM17" s="57">
        <f>AL17+C17</f>
        <v>1977113536.8595588</v>
      </c>
      <c r="AN17" s="57">
        <f>C17</f>
        <v>2042334319.1199901</v>
      </c>
      <c r="AO17" s="57">
        <f>+AL17</f>
        <v>-65220782.260431349</v>
      </c>
      <c r="AP17" s="57">
        <f>SUM(AN17:AO17)</f>
        <v>1977113536.8595588</v>
      </c>
      <c r="AQ17" s="1121">
        <f>'JHS-22'!C25</f>
        <v>62795830</v>
      </c>
      <c r="AR17" s="1121">
        <f>SUM(AP17:AQ17)</f>
        <v>2039909366.8595588</v>
      </c>
      <c r="AS17" s="1242"/>
      <c r="AT17" s="1476">
        <f>AQ17/AP17</f>
        <v>3.1761367685411081E-2</v>
      </c>
      <c r="AU17" s="1068"/>
      <c r="AV17" s="1068"/>
      <c r="AW17" s="1068"/>
      <c r="AX17" s="1068"/>
      <c r="AY17" s="1068"/>
      <c r="AZ17" s="1068"/>
      <c r="BA17" s="1068"/>
      <c r="BB17" s="1068"/>
      <c r="BC17" s="1068"/>
      <c r="BD17" s="1068"/>
      <c r="BE17" s="1068"/>
      <c r="BF17" s="1068"/>
    </row>
    <row r="18" spans="1:58" s="1309" customFormat="1">
      <c r="A18" s="8">
        <f t="shared" si="2"/>
        <v>3</v>
      </c>
      <c r="B18" s="9" t="s">
        <v>214</v>
      </c>
      <c r="C18" s="55">
        <v>350182.38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740"/>
      <c r="P18" s="55">
        <f>'JHS-21'!F40</f>
        <v>3093</v>
      </c>
      <c r="Q18" s="55">
        <f>'JHS-21'!L35</f>
        <v>864472.1399999999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>
        <f>SUM(D18:AK18)</f>
        <v>867565.1399999999</v>
      </c>
      <c r="AM18" s="55">
        <f>AL18+C18</f>
        <v>1217747.52</v>
      </c>
      <c r="AN18" s="160">
        <f>C18</f>
        <v>350182.38</v>
      </c>
      <c r="AO18" s="55">
        <f>+AL18</f>
        <v>867565.1399999999</v>
      </c>
      <c r="AP18" s="55">
        <f>SUM(AN18:AO18)</f>
        <v>1217747.52</v>
      </c>
      <c r="AQ18" s="160">
        <f>'JHS-22'!C24+'JHS-22'!C23</f>
        <v>523539</v>
      </c>
      <c r="AR18" s="160">
        <f>SUM(AP18:AQ18)</f>
        <v>1741286.52</v>
      </c>
      <c r="AS18" s="1242"/>
      <c r="AT18" s="1310"/>
      <c r="AU18" s="1068"/>
      <c r="AV18" s="1068"/>
      <c r="AW18" s="1068"/>
      <c r="AX18" s="1068"/>
      <c r="AY18" s="1068"/>
      <c r="AZ18" s="1068"/>
      <c r="BA18" s="1068"/>
      <c r="BB18" s="1068"/>
      <c r="BC18" s="1068"/>
      <c r="BD18" s="1068"/>
      <c r="BE18" s="1068"/>
      <c r="BF18" s="1068"/>
    </row>
    <row r="19" spans="1:58" s="1309" customFormat="1" ht="13.5">
      <c r="A19" s="8">
        <f t="shared" si="2"/>
        <v>4</v>
      </c>
      <c r="B19" s="9" t="s">
        <v>1071</v>
      </c>
      <c r="C19" s="55">
        <v>201262557</v>
      </c>
      <c r="D19" s="1102">
        <f>'JHS-20'!E13</f>
        <v>-161098833.64355522</v>
      </c>
      <c r="E19" s="55"/>
      <c r="F19" s="55"/>
      <c r="G19" s="55"/>
      <c r="H19" s="55"/>
      <c r="I19" s="55"/>
      <c r="J19" s="55"/>
      <c r="K19" s="55"/>
      <c r="L19" s="55"/>
      <c r="M19" s="55"/>
      <c r="N19" s="55">
        <f>-'JHS-20'!BC40</f>
        <v>0</v>
      </c>
      <c r="O19" s="740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102">
        <f>SUM(D19:AK19)</f>
        <v>-161098833.64355522</v>
      </c>
      <c r="AM19" s="1102">
        <f>AL19+C19</f>
        <v>40163723.356444776</v>
      </c>
      <c r="AN19" s="160">
        <f>C19</f>
        <v>201262557</v>
      </c>
      <c r="AO19" s="1102">
        <f>+AL19</f>
        <v>-161098833.64355522</v>
      </c>
      <c r="AP19" s="1102">
        <f>SUM(AN19:AO19)</f>
        <v>40163723.356444776</v>
      </c>
      <c r="AQ19" s="160"/>
      <c r="AR19" s="1190">
        <f>SUM(AP19:AQ19)</f>
        <v>40163723.356444776</v>
      </c>
      <c r="AS19" s="55"/>
      <c r="AT19" s="1310"/>
      <c r="AU19" s="1068"/>
      <c r="AV19" s="1068"/>
      <c r="AW19" s="1068"/>
      <c r="AX19" s="1068"/>
      <c r="AY19" s="1068"/>
      <c r="AZ19" s="1068"/>
      <c r="BA19" s="1068"/>
      <c r="BB19" s="1068"/>
      <c r="BC19" s="1068"/>
      <c r="BD19" s="1068"/>
      <c r="BE19" s="1068"/>
      <c r="BF19" s="1068"/>
    </row>
    <row r="20" spans="1:58" s="1309" customFormat="1" ht="13.5">
      <c r="A20" s="8">
        <f t="shared" si="2"/>
        <v>5</v>
      </c>
      <c r="B20" s="9" t="s">
        <v>1072</v>
      </c>
      <c r="C20" s="5">
        <v>30706332.759999901</v>
      </c>
      <c r="D20" s="1103">
        <f>'JHS-20'!E15+'JHS-20'!E16</f>
        <v>39769401.327659868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741"/>
      <c r="P20" s="5"/>
      <c r="Q20" s="5">
        <f>'JHS-21'!L42</f>
        <v>1036143.3800000006</v>
      </c>
      <c r="R20" s="5">
        <f>-'JHS-21'!Q19-'JHS-21'!Q21-'JHS-21'!Q22</f>
        <v>-32491669.850000001</v>
      </c>
      <c r="S20" s="5"/>
      <c r="T20" s="5" t="s">
        <v>939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103">
        <f>SUM(D20:AK20)</f>
        <v>8313874.8576598689</v>
      </c>
      <c r="AM20" s="1103">
        <f>AL20+C20</f>
        <v>39020207.61765977</v>
      </c>
      <c r="AN20" s="304">
        <f>C20</f>
        <v>30706332.759999901</v>
      </c>
      <c r="AO20" s="1103">
        <f>+AL20</f>
        <v>8313874.8576598689</v>
      </c>
      <c r="AP20" s="1103">
        <f>SUM(AN20:AO20)</f>
        <v>39020207.61765977</v>
      </c>
      <c r="AQ20" s="304"/>
      <c r="AR20" s="1313">
        <f>SUM(AP20:AQ20)</f>
        <v>39020207.61765977</v>
      </c>
      <c r="AS20" s="55"/>
      <c r="AT20" s="1310"/>
      <c r="AU20" s="1068"/>
      <c r="AV20" s="1068"/>
      <c r="AW20" s="1068"/>
      <c r="AX20" s="1068"/>
      <c r="AY20" s="1068"/>
      <c r="AZ20" s="1068"/>
      <c r="BA20" s="1068"/>
      <c r="BB20" s="1068"/>
      <c r="BC20" s="1068"/>
      <c r="BD20" s="1068"/>
      <c r="BE20" s="1068"/>
      <c r="BF20" s="1068"/>
    </row>
    <row r="21" spans="1:58" s="1309" customFormat="1" ht="13.5">
      <c r="A21" s="8">
        <f t="shared" si="2"/>
        <v>6</v>
      </c>
      <c r="B21" s="9" t="s">
        <v>1073</v>
      </c>
      <c r="C21" s="129">
        <f>SUM(C17:C20)</f>
        <v>2274653391.2599902</v>
      </c>
      <c r="D21" s="1099">
        <f>SUM(D17:D20)</f>
        <v>-121329432.31589535</v>
      </c>
      <c r="E21" s="129">
        <f>SUM(E17:E20)</f>
        <v>0</v>
      </c>
      <c r="F21" s="129">
        <f>SUM(F17:F20)</f>
        <v>0</v>
      </c>
      <c r="G21" s="129">
        <f>SUM(G17:G20)</f>
        <v>0</v>
      </c>
      <c r="H21" s="129"/>
      <c r="I21" s="129">
        <f>SUM(I17:I20)</f>
        <v>0</v>
      </c>
      <c r="J21" s="129">
        <f>SUM(J17:J20)</f>
        <v>0</v>
      </c>
      <c r="K21" s="129">
        <f>SUM(K17:K20)</f>
        <v>0</v>
      </c>
      <c r="L21" s="129">
        <f t="shared" ref="L21:V21" si="3">SUM(L17:L20)</f>
        <v>0</v>
      </c>
      <c r="M21" s="129">
        <f t="shared" si="3"/>
        <v>0</v>
      </c>
      <c r="N21" s="129">
        <f t="shared" si="3"/>
        <v>0</v>
      </c>
      <c r="O21" s="740">
        <f>SUM(O17:O20)</f>
        <v>0</v>
      </c>
      <c r="P21" s="129">
        <f t="shared" si="3"/>
        <v>20896426.041821491</v>
      </c>
      <c r="Q21" s="129">
        <f t="shared" si="3"/>
        <v>-5438084.0876134504</v>
      </c>
      <c r="R21" s="129">
        <f t="shared" si="3"/>
        <v>-111267085.54463938</v>
      </c>
      <c r="S21" s="129">
        <f t="shared" si="3"/>
        <v>0</v>
      </c>
      <c r="T21" s="129">
        <f t="shared" si="3"/>
        <v>0</v>
      </c>
      <c r="U21" s="129">
        <f t="shared" si="3"/>
        <v>0</v>
      </c>
      <c r="V21" s="129">
        <f t="shared" si="3"/>
        <v>0</v>
      </c>
      <c r="W21" s="129"/>
      <c r="X21" s="129">
        <f>SUM(X17:X20)</f>
        <v>0</v>
      </c>
      <c r="Y21" s="129">
        <f>SUM(Y17:Y20)</f>
        <v>0</v>
      </c>
      <c r="Z21" s="129">
        <f>SUM(Z17:Z20)</f>
        <v>0</v>
      </c>
      <c r="AA21" s="129">
        <f>SUM(AA17:AA20)</f>
        <v>0</v>
      </c>
      <c r="AB21" s="129">
        <f>SUM(AB17:AB20)</f>
        <v>0</v>
      </c>
      <c r="AC21" s="129">
        <f t="shared" ref="AC21:AK21" si="4">SUM(AC17:AC20)</f>
        <v>0</v>
      </c>
      <c r="AD21" s="129">
        <f t="shared" si="4"/>
        <v>0</v>
      </c>
      <c r="AE21" s="129">
        <f t="shared" si="4"/>
        <v>0</v>
      </c>
      <c r="AF21" s="129">
        <f t="shared" si="4"/>
        <v>0</v>
      </c>
      <c r="AG21" s="129">
        <f t="shared" si="4"/>
        <v>0</v>
      </c>
      <c r="AH21" s="129">
        <f t="shared" si="4"/>
        <v>0</v>
      </c>
      <c r="AI21" s="129">
        <f t="shared" si="4"/>
        <v>0</v>
      </c>
      <c r="AJ21" s="129">
        <f t="shared" si="4"/>
        <v>0</v>
      </c>
      <c r="AK21" s="129">
        <f t="shared" si="4"/>
        <v>0</v>
      </c>
      <c r="AL21" s="1099">
        <f>SUM(D21:AK21)</f>
        <v>-217138175.90632668</v>
      </c>
      <c r="AM21" s="1099">
        <f>AL21+C21</f>
        <v>2057515215.3536634</v>
      </c>
      <c r="AN21" s="1314">
        <f>SUM(AN17:AN20)</f>
        <v>2274653391.2599902</v>
      </c>
      <c r="AO21" s="1099">
        <f>SUM(AO17:AO20)</f>
        <v>-217138175.90632671</v>
      </c>
      <c r="AP21" s="1099">
        <f>SUM(AP17:AP20)</f>
        <v>2057515215.3536634</v>
      </c>
      <c r="AQ21" s="1315">
        <f>SUM(AQ17:AQ20)</f>
        <v>63319369</v>
      </c>
      <c r="AR21" s="1315">
        <f>SUM(AR17:AR20)</f>
        <v>2120834584.3536634</v>
      </c>
      <c r="AS21" s="99"/>
      <c r="AT21" s="1310"/>
      <c r="AU21" s="1068"/>
      <c r="AV21" s="1068"/>
      <c r="AW21" s="1068"/>
      <c r="AX21" s="1068"/>
      <c r="AY21" s="1068"/>
      <c r="AZ21" s="1068"/>
      <c r="BA21" s="1068"/>
      <c r="BB21" s="1068"/>
      <c r="BC21" s="1068"/>
      <c r="BD21" s="1068"/>
      <c r="BE21" s="1068"/>
      <c r="BF21" s="1068"/>
    </row>
    <row r="22" spans="1:58" s="1309" customFormat="1">
      <c r="A22" s="8">
        <f t="shared" si="2"/>
        <v>7</v>
      </c>
      <c r="B22" s="1242"/>
      <c r="C22" s="54"/>
      <c r="D22" s="54" t="s">
        <v>939</v>
      </c>
      <c r="E22" s="54"/>
      <c r="F22" s="54"/>
      <c r="G22" s="54" t="s">
        <v>939</v>
      </c>
      <c r="H22" s="54"/>
      <c r="I22" s="54"/>
      <c r="J22" s="54"/>
      <c r="K22" s="54"/>
      <c r="L22" s="54"/>
      <c r="M22" s="54"/>
      <c r="N22" s="54" t="s">
        <v>939</v>
      </c>
      <c r="O22" s="740"/>
      <c r="P22" s="54" t="s">
        <v>939</v>
      </c>
      <c r="Q22" s="54" t="s">
        <v>939</v>
      </c>
      <c r="R22" s="54"/>
      <c r="S22" s="54" t="s">
        <v>939</v>
      </c>
      <c r="T22" s="54" t="s">
        <v>939</v>
      </c>
      <c r="U22" s="54" t="s">
        <v>939</v>
      </c>
      <c r="V22" s="54"/>
      <c r="W22" s="54"/>
      <c r="X22" s="54" t="s">
        <v>939</v>
      </c>
      <c r="Y22" s="54"/>
      <c r="Z22" s="54"/>
      <c r="AA22" s="54"/>
      <c r="AB22" s="54" t="s">
        <v>939</v>
      </c>
      <c r="AC22" s="54" t="s">
        <v>939</v>
      </c>
      <c r="AD22" s="54"/>
      <c r="AE22" s="54" t="s">
        <v>939</v>
      </c>
      <c r="AF22" s="54"/>
      <c r="AG22" s="54"/>
      <c r="AH22" s="54" t="s">
        <v>939</v>
      </c>
      <c r="AI22" s="54" t="s">
        <v>939</v>
      </c>
      <c r="AJ22" s="54" t="s">
        <v>939</v>
      </c>
      <c r="AK22" s="54"/>
      <c r="AL22" s="54"/>
      <c r="AM22" s="54"/>
      <c r="AN22" s="160"/>
      <c r="AO22" s="54"/>
      <c r="AP22" s="54"/>
      <c r="AQ22" s="160"/>
      <c r="AR22" s="160"/>
      <c r="AS22" s="99"/>
      <c r="AT22" s="1310"/>
      <c r="AU22" s="1068"/>
      <c r="AV22" s="1068"/>
      <c r="AW22" s="1068"/>
      <c r="AX22" s="1068"/>
      <c r="AY22" s="1068"/>
      <c r="AZ22" s="1068"/>
      <c r="BA22" s="1068"/>
      <c r="BB22" s="1068"/>
      <c r="BC22" s="1068"/>
      <c r="BD22" s="1068"/>
      <c r="BE22" s="1068"/>
      <c r="BF22" s="1068"/>
    </row>
    <row r="23" spans="1:58" s="1309" customFormat="1">
      <c r="A23" s="8">
        <f t="shared" si="2"/>
        <v>8</v>
      </c>
      <c r="B23" s="9" t="s">
        <v>1074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740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160"/>
      <c r="AO23" s="54"/>
      <c r="AP23" s="54"/>
      <c r="AQ23" s="160"/>
      <c r="AR23" s="160"/>
      <c r="AS23" s="54"/>
      <c r="AT23" s="1310"/>
      <c r="AU23" s="1068"/>
      <c r="AV23" s="1068"/>
      <c r="AW23" s="1068"/>
      <c r="AX23" s="1068"/>
      <c r="AY23" s="1068"/>
      <c r="AZ23" s="1068"/>
      <c r="BA23" s="1068"/>
      <c r="BB23" s="1068"/>
      <c r="BC23" s="1068"/>
      <c r="BD23" s="1068"/>
      <c r="BE23" s="1068"/>
      <c r="BF23" s="1068"/>
    </row>
    <row r="24" spans="1:58" s="1309" customFormat="1">
      <c r="A24" s="8">
        <f t="shared" si="2"/>
        <v>9</v>
      </c>
      <c r="B24" s="1242"/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740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2"/>
      <c r="AB24" s="1242"/>
      <c r="AC24" s="1242"/>
      <c r="AD24" s="1242"/>
      <c r="AE24" s="1242"/>
      <c r="AF24" s="1242"/>
      <c r="AG24" s="1242"/>
      <c r="AH24" s="1242"/>
      <c r="AI24" s="1242"/>
      <c r="AJ24" s="1242"/>
      <c r="AK24" s="1242"/>
      <c r="AL24" s="1242"/>
      <c r="AM24" s="1242"/>
      <c r="AN24" s="160"/>
      <c r="AO24" s="1242"/>
      <c r="AP24" s="1242"/>
      <c r="AQ24" s="160"/>
      <c r="AR24" s="160"/>
      <c r="AS24" s="54"/>
      <c r="AT24" s="1310"/>
      <c r="AU24" s="1068"/>
      <c r="AV24" s="1068"/>
      <c r="AW24" s="1068"/>
      <c r="AX24" s="1068"/>
      <c r="AY24" s="1068"/>
      <c r="AZ24" s="1068"/>
      <c r="BA24" s="1068"/>
      <c r="BB24" s="1068"/>
      <c r="BC24" s="1068"/>
      <c r="BD24" s="1068"/>
      <c r="BE24" s="1068"/>
      <c r="BF24" s="1068"/>
    </row>
    <row r="25" spans="1:58" s="1309" customFormat="1">
      <c r="A25" s="8">
        <f t="shared" si="2"/>
        <v>10</v>
      </c>
      <c r="B25" s="9" t="s">
        <v>1075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740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160"/>
      <c r="AO25" s="54"/>
      <c r="AP25" s="54"/>
      <c r="AQ25" s="160"/>
      <c r="AR25" s="160"/>
      <c r="AS25" s="1242"/>
      <c r="AT25" s="1310"/>
      <c r="AU25" s="1068"/>
      <c r="AV25" s="1068"/>
      <c r="AW25" s="1068"/>
      <c r="AX25" s="1068"/>
      <c r="AY25" s="1068"/>
      <c r="AZ25" s="1068"/>
      <c r="BA25" s="1068"/>
      <c r="BB25" s="1068"/>
      <c r="BC25" s="1068"/>
      <c r="BD25" s="1068"/>
      <c r="BE25" s="1068"/>
      <c r="BF25" s="1068"/>
    </row>
    <row r="26" spans="1:58" s="1309" customFormat="1" ht="13.5">
      <c r="A26" s="8">
        <f t="shared" si="2"/>
        <v>11</v>
      </c>
      <c r="B26" s="9" t="s">
        <v>1076</v>
      </c>
      <c r="C26" s="57">
        <v>268147071.16</v>
      </c>
      <c r="D26" s="1121">
        <f>'JHS-20'!E21</f>
        <v>-578988.95660704374</v>
      </c>
      <c r="E26" s="57"/>
      <c r="F26" s="57"/>
      <c r="G26" s="57">
        <v>0</v>
      </c>
      <c r="H26" s="57"/>
      <c r="I26" s="57">
        <v>0</v>
      </c>
      <c r="J26" s="57">
        <v>0</v>
      </c>
      <c r="K26" s="57"/>
      <c r="L26" s="57"/>
      <c r="M26" s="1121">
        <f>'JHS-20'!AY43+'JHS-20'!AY44+'JHS-20'!AY47</f>
        <v>430955.08437971969</v>
      </c>
      <c r="N26" s="1192">
        <f>'JHS-20'!BC53+'JHS-20'!BC37+'JHS-20'!BC54+'JHS-20'!BC57</f>
        <v>9021.4155266343023</v>
      </c>
      <c r="O26" s="740"/>
      <c r="P26" s="57">
        <v>0</v>
      </c>
      <c r="Q26" s="57">
        <v>0</v>
      </c>
      <c r="R26" s="57"/>
      <c r="S26" s="57">
        <v>0</v>
      </c>
      <c r="T26" s="57">
        <v>0</v>
      </c>
      <c r="U26" s="57">
        <v>0</v>
      </c>
      <c r="V26" s="57">
        <v>0</v>
      </c>
      <c r="W26" s="57"/>
      <c r="X26" s="57">
        <v>0</v>
      </c>
      <c r="Y26" s="57"/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/>
      <c r="AL26" s="1121">
        <f>SUM(D26:AK26)</f>
        <v>-139012.45670068974</v>
      </c>
      <c r="AM26" s="1121">
        <f>AL26+C26</f>
        <v>268008058.70329931</v>
      </c>
      <c r="AN26" s="57">
        <f>C26</f>
        <v>268147071.16</v>
      </c>
      <c r="AO26" s="1121">
        <f>+AL26</f>
        <v>-139012.45670068974</v>
      </c>
      <c r="AP26" s="1121">
        <f>SUM(AN26:AO26)</f>
        <v>268008058.70329931</v>
      </c>
      <c r="AQ26" s="57">
        <v>0</v>
      </c>
      <c r="AR26" s="1121">
        <f>SUM(AP26:AQ26)</f>
        <v>268008058.70329931</v>
      </c>
      <c r="AS26" s="54"/>
      <c r="AT26" s="1310"/>
      <c r="AU26" s="1068"/>
      <c r="AV26" s="1068"/>
      <c r="AW26" s="1068"/>
      <c r="AX26" s="1068"/>
      <c r="AY26" s="1068"/>
      <c r="AZ26" s="1068"/>
      <c r="BA26" s="1068"/>
      <c r="BB26" s="1068"/>
      <c r="BC26" s="1068"/>
      <c r="BD26" s="1068"/>
      <c r="BE26" s="1068"/>
      <c r="BF26" s="1068"/>
    </row>
    <row r="27" spans="1:58" s="1309" customFormat="1" ht="13.5">
      <c r="A27" s="8">
        <f t="shared" si="2"/>
        <v>12</v>
      </c>
      <c r="B27" s="9" t="s">
        <v>1077</v>
      </c>
      <c r="C27" s="55">
        <v>832711096.74000001</v>
      </c>
      <c r="D27" s="1102">
        <f>+'JHS-20'!E23+'JHS-20'!E24</f>
        <v>-329043258.32243198</v>
      </c>
      <c r="E27" s="55">
        <f>'JHS-20'!J28</f>
        <v>776099.49929999991</v>
      </c>
      <c r="F27" s="55"/>
      <c r="G27" s="55"/>
      <c r="H27" s="55"/>
      <c r="I27" s="55"/>
      <c r="J27" s="55"/>
      <c r="K27" s="55">
        <f>'JHS-20'!AO29</f>
        <v>-37532000</v>
      </c>
      <c r="L27" s="55">
        <f>'JHS-20'!AT28</f>
        <v>7088065.5894999942</v>
      </c>
      <c r="M27" s="55">
        <f>'JHS-20'!AY38+'JHS-20'!AY42</f>
        <v>1209583.3333333333</v>
      </c>
      <c r="N27" s="303">
        <f>+'JHS-20'!BC47+'JHS-20'!BC38+'JHS-20'!BC15+'JHS-20'!BC63</f>
        <v>-240765.54605355591</v>
      </c>
      <c r="O27" s="740"/>
      <c r="P27" s="55"/>
      <c r="Q27" s="55"/>
      <c r="R27" s="55"/>
      <c r="S27" s="55"/>
      <c r="T27" s="55"/>
      <c r="U27" s="55"/>
      <c r="V27" s="55"/>
      <c r="W27" s="55"/>
      <c r="X27" s="55"/>
      <c r="Y27" s="55">
        <f>'JHS-21'!BB14</f>
        <v>-32534.949040303851</v>
      </c>
      <c r="Z27" s="55"/>
      <c r="AA27" s="55"/>
      <c r="AB27" s="55"/>
      <c r="AC27" s="55"/>
      <c r="AD27" s="55"/>
      <c r="AE27" s="55"/>
      <c r="AF27" s="55"/>
      <c r="AG27" s="55"/>
      <c r="AH27" s="55">
        <f>'JHS-21'!CR14</f>
        <v>112238</v>
      </c>
      <c r="AI27" s="55"/>
      <c r="AJ27" s="55"/>
      <c r="AK27" s="55"/>
      <c r="AL27" s="1102">
        <f>SUM(D27:AK27)</f>
        <v>-357662572.39539248</v>
      </c>
      <c r="AM27" s="1102">
        <f>AL27+C27</f>
        <v>475048524.34460753</v>
      </c>
      <c r="AN27" s="160">
        <f>C27</f>
        <v>832711096.74000001</v>
      </c>
      <c r="AO27" s="1102">
        <f>+AL27</f>
        <v>-357662572.39539248</v>
      </c>
      <c r="AP27" s="1102">
        <f>SUM(AN27:AO27)</f>
        <v>475048524.34460753</v>
      </c>
      <c r="AQ27" s="160"/>
      <c r="AR27" s="1190">
        <f>SUM(AP27:AQ27)</f>
        <v>475048524.34460753</v>
      </c>
      <c r="AS27" s="57"/>
      <c r="AT27" s="1310"/>
      <c r="AU27" s="1068"/>
      <c r="AV27" s="1068"/>
      <c r="AW27" s="1068"/>
      <c r="AX27" s="1068"/>
      <c r="AY27" s="1068"/>
      <c r="AZ27" s="1068"/>
      <c r="BA27" s="1068"/>
      <c r="BB27" s="1068"/>
      <c r="BC27" s="1068"/>
      <c r="BD27" s="1068"/>
      <c r="BE27" s="1068"/>
      <c r="BF27" s="1068"/>
    </row>
    <row r="28" spans="1:58" s="1309" customFormat="1" ht="13.5">
      <c r="A28" s="8">
        <f t="shared" si="2"/>
        <v>13</v>
      </c>
      <c r="B28" s="9" t="s">
        <v>1078</v>
      </c>
      <c r="C28" s="55">
        <v>78564669.039999902</v>
      </c>
      <c r="D28" s="1102">
        <f>'JHS-20'!E27</f>
        <v>6751065.4061899483</v>
      </c>
      <c r="E28" s="1102">
        <f>'JHS-20'!J29</f>
        <v>6884867.0464579072</v>
      </c>
      <c r="F28" s="55">
        <f>'JHS-20'!O27</f>
        <v>420202.58515248541</v>
      </c>
      <c r="G28" s="55"/>
      <c r="H28" s="55"/>
      <c r="I28" s="55"/>
      <c r="J28" s="55"/>
      <c r="K28" s="55"/>
      <c r="L28" s="55"/>
      <c r="M28" s="55">
        <f>'JHS-20'!AY40</f>
        <v>-2076858.21</v>
      </c>
      <c r="N28" s="1192">
        <f>'JHS-20'!BC39+'JHS-20'!BC50+'JHS-20'!BC52+'JHS-20'!BC61</f>
        <v>-153333.41156750213</v>
      </c>
      <c r="O28" s="742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102">
        <f>SUM(D28:AK28)</f>
        <v>11825943.416232839</v>
      </c>
      <c r="AM28" s="1102">
        <f>AL28+C28</f>
        <v>90390612.456232741</v>
      </c>
      <c r="AN28" s="160">
        <f>C28</f>
        <v>78564669.039999902</v>
      </c>
      <c r="AO28" s="1102">
        <f>+AL28</f>
        <v>11825943.416232839</v>
      </c>
      <c r="AP28" s="1102">
        <f>SUM(AN28:AO28)</f>
        <v>90390612.456232741</v>
      </c>
      <c r="AQ28" s="160"/>
      <c r="AR28" s="1190">
        <f>SUM(AP28:AQ28)</f>
        <v>90390612.456232741</v>
      </c>
      <c r="AS28" s="55"/>
      <c r="AT28" s="1310"/>
      <c r="AU28" s="1068"/>
      <c r="AV28" s="1068"/>
      <c r="AW28" s="1068"/>
      <c r="AX28" s="1068"/>
      <c r="AY28" s="1068"/>
      <c r="AZ28" s="1068"/>
      <c r="BA28" s="1068"/>
      <c r="BB28" s="1068"/>
      <c r="BC28" s="1068"/>
      <c r="BD28" s="1068"/>
      <c r="BE28" s="1068"/>
      <c r="BF28" s="1068"/>
    </row>
    <row r="29" spans="1:58" s="1309" customFormat="1">
      <c r="A29" s="8">
        <f t="shared" si="2"/>
        <v>14</v>
      </c>
      <c r="B29" s="1242" t="s">
        <v>387</v>
      </c>
      <c r="C29" s="5">
        <v>-75109150.280000001</v>
      </c>
      <c r="D29" s="5">
        <f>'JHS-20'!E28</f>
        <v>0</v>
      </c>
      <c r="E29" s="5"/>
      <c r="F29" s="5"/>
      <c r="G29" s="5"/>
      <c r="H29" s="5"/>
      <c r="I29" s="5"/>
      <c r="J29" s="5"/>
      <c r="K29" s="5"/>
      <c r="L29" s="5"/>
      <c r="M29" s="5"/>
      <c r="N29" s="1311"/>
      <c r="O29" s="741"/>
      <c r="P29" s="5"/>
      <c r="Q29" s="5"/>
      <c r="R29" s="5">
        <f>'JHS-21'!Q35</f>
        <v>75109150.280000001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>
        <f>SUM(D29:AK29)</f>
        <v>75109150.280000001</v>
      </c>
      <c r="AM29" s="5">
        <f>AL29+C29</f>
        <v>0</v>
      </c>
      <c r="AN29" s="304">
        <f>C29</f>
        <v>-75109150.280000001</v>
      </c>
      <c r="AO29" s="5">
        <f>+AL29</f>
        <v>75109150.280000001</v>
      </c>
      <c r="AP29" s="5">
        <f>SUM(AN29:AO29)</f>
        <v>0</v>
      </c>
      <c r="AQ29" s="304"/>
      <c r="AR29" s="304">
        <f>SUM(AP29:AQ29)</f>
        <v>0</v>
      </c>
      <c r="AS29" s="55"/>
      <c r="AT29" s="1310"/>
      <c r="AU29" s="1068"/>
      <c r="AV29" s="1068"/>
      <c r="AW29" s="1068"/>
      <c r="AX29" s="1068"/>
      <c r="AY29" s="1068"/>
      <c r="AZ29" s="1068"/>
      <c r="BA29" s="1068"/>
      <c r="BB29" s="1068"/>
      <c r="BC29" s="1068"/>
      <c r="BD29" s="1068"/>
      <c r="BE29" s="1068"/>
      <c r="BF29" s="1068"/>
    </row>
    <row r="30" spans="1:58" s="1309" customFormat="1" ht="13.5">
      <c r="A30" s="8">
        <f t="shared" si="2"/>
        <v>15</v>
      </c>
      <c r="B30" s="9" t="s">
        <v>1079</v>
      </c>
      <c r="C30" s="129">
        <f>SUM(C26:C29)</f>
        <v>1104313686.6600001</v>
      </c>
      <c r="D30" s="1099">
        <f>SUM(D26:D29)</f>
        <v>-322871181.87284911</v>
      </c>
      <c r="E30" s="1099">
        <f>SUM(E25:E29)</f>
        <v>7660966.5457579074</v>
      </c>
      <c r="F30" s="129">
        <f>SUM(F25:F29)</f>
        <v>420202.58515248541</v>
      </c>
      <c r="G30" s="129">
        <f>SUM(G25:G29)</f>
        <v>0</v>
      </c>
      <c r="H30" s="129">
        <f>SUM(H25:H29)</f>
        <v>0</v>
      </c>
      <c r="I30" s="129">
        <f>SUM(I25:I29)</f>
        <v>0</v>
      </c>
      <c r="J30" s="129">
        <f>SUM(J26:J29)</f>
        <v>0</v>
      </c>
      <c r="K30" s="129">
        <f>SUM(K25:K29)</f>
        <v>-37532000</v>
      </c>
      <c r="L30" s="129">
        <f>SUM(L25:L29)</f>
        <v>7088065.5894999942</v>
      </c>
      <c r="M30" s="1099">
        <f>SUM(M25:M29)</f>
        <v>-436319.7922869469</v>
      </c>
      <c r="N30" s="1099">
        <f>SUM(N25:N29)</f>
        <v>-385077.54209442373</v>
      </c>
      <c r="O30" s="740">
        <f>SUM(O25:O29)</f>
        <v>0</v>
      </c>
      <c r="P30" s="129">
        <f>SUM(P26:P29)</f>
        <v>0</v>
      </c>
      <c r="Q30" s="129">
        <f>SUM(Q26:Q29)</f>
        <v>0</v>
      </c>
      <c r="R30" s="129">
        <f>SUM(R25:R29)</f>
        <v>75109150.280000001</v>
      </c>
      <c r="S30" s="129">
        <f>SUM(S26:S29)</f>
        <v>0</v>
      </c>
      <c r="T30" s="129">
        <f>SUM(T26:T29)</f>
        <v>0</v>
      </c>
      <c r="U30" s="129">
        <f>SUM(U25:U29)</f>
        <v>0</v>
      </c>
      <c r="V30" s="129">
        <f>SUM(V26:V29)</f>
        <v>0</v>
      </c>
      <c r="W30" s="129">
        <f>SUM(W25:W29)</f>
        <v>0</v>
      </c>
      <c r="X30" s="129">
        <f>SUM(X26:X29)</f>
        <v>0</v>
      </c>
      <c r="Y30" s="129">
        <f>SUM(Y25:Y29)</f>
        <v>-32534.949040303851</v>
      </c>
      <c r="Z30" s="129">
        <f>SUM(Z25:Z29)</f>
        <v>0</v>
      </c>
      <c r="AA30" s="129">
        <f>SUM(AA25:AA29)</f>
        <v>0</v>
      </c>
      <c r="AB30" s="129">
        <f>SUM(AB25:AB29)</f>
        <v>0</v>
      </c>
      <c r="AC30" s="129">
        <f t="shared" ref="AC30:AK30" si="5">SUM(AC25:AC29)</f>
        <v>0</v>
      </c>
      <c r="AD30" s="129">
        <f t="shared" si="5"/>
        <v>0</v>
      </c>
      <c r="AE30" s="129">
        <f t="shared" si="5"/>
        <v>0</v>
      </c>
      <c r="AF30" s="129">
        <f t="shared" si="5"/>
        <v>0</v>
      </c>
      <c r="AG30" s="129">
        <f t="shared" si="5"/>
        <v>0</v>
      </c>
      <c r="AH30" s="129">
        <f t="shared" si="5"/>
        <v>112238</v>
      </c>
      <c r="AI30" s="129">
        <f t="shared" si="5"/>
        <v>0</v>
      </c>
      <c r="AJ30" s="129">
        <f t="shared" si="5"/>
        <v>0</v>
      </c>
      <c r="AK30" s="129">
        <f t="shared" si="5"/>
        <v>0</v>
      </c>
      <c r="AL30" s="1099">
        <f>SUM(D30:AK30)</f>
        <v>-270866491.1558603</v>
      </c>
      <c r="AM30" s="1099">
        <f>AL30+C30</f>
        <v>833447195.50413978</v>
      </c>
      <c r="AN30" s="1314">
        <f>SUM(AN26:AN29)</f>
        <v>1104313686.6600001</v>
      </c>
      <c r="AO30" s="1099">
        <f>SUM(AO26:AO29)</f>
        <v>-270866491.1558603</v>
      </c>
      <c r="AP30" s="1099">
        <f>SUM(AP26:AP29)</f>
        <v>833447195.50413966</v>
      </c>
      <c r="AQ30" s="1314">
        <f>SUM(AQ26:AQ29)</f>
        <v>0</v>
      </c>
      <c r="AR30" s="1315">
        <f>SUM(AR26:AR29)</f>
        <v>833447195.50413966</v>
      </c>
      <c r="AS30" s="99"/>
      <c r="AT30" s="1310"/>
      <c r="AU30" s="1068"/>
      <c r="AV30" s="1068"/>
      <c r="AW30" s="1068"/>
      <c r="AX30" s="1068"/>
      <c r="AY30" s="1068"/>
      <c r="AZ30" s="1068"/>
      <c r="BA30" s="1068"/>
      <c r="BB30" s="1068"/>
      <c r="BC30" s="1068"/>
      <c r="BD30" s="1068"/>
      <c r="BE30" s="1068"/>
      <c r="BF30" s="1068"/>
    </row>
    <row r="31" spans="1:58" s="1309" customFormat="1">
      <c r="A31" s="8">
        <f t="shared" si="2"/>
        <v>16</v>
      </c>
      <c r="B31" s="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74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60"/>
      <c r="AO31" s="110"/>
      <c r="AP31" s="110"/>
      <c r="AQ31" s="160"/>
      <c r="AR31" s="160"/>
      <c r="AS31" s="99"/>
      <c r="AT31" s="1310"/>
      <c r="AU31" s="1068"/>
      <c r="AV31" s="1068"/>
      <c r="AW31" s="1068"/>
      <c r="AX31" s="1068"/>
      <c r="AY31" s="1068"/>
      <c r="AZ31" s="1068"/>
      <c r="BA31" s="1068"/>
      <c r="BB31" s="1068"/>
      <c r="BC31" s="1068"/>
      <c r="BD31" s="1068"/>
      <c r="BE31" s="1068"/>
      <c r="BF31" s="1068"/>
    </row>
    <row r="32" spans="1:58" s="1309" customFormat="1" ht="13.5">
      <c r="A32" s="8">
        <f t="shared" si="2"/>
        <v>17</v>
      </c>
      <c r="B32" s="43" t="s">
        <v>870</v>
      </c>
      <c r="C32" s="57">
        <v>102409191.68000001</v>
      </c>
      <c r="D32" s="1121">
        <f>'JHS-20'!E30</f>
        <v>12097210.328931525</v>
      </c>
      <c r="E32" s="57">
        <f>'JHS-20'!J30</f>
        <v>10891022.50639385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1121">
        <f>SUM('JHS-20'!AY50:AY54)</f>
        <v>-1062521.5199859745</v>
      </c>
      <c r="N32" s="1121">
        <f>'JHS-20'!BC41+'JHS-20'!BC16+'JHS-20'!BC59</f>
        <v>-236925.98345704243</v>
      </c>
      <c r="O32" s="743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5">
        <f>'JHS-21'!AD17</f>
        <v>-77824.864000000001</v>
      </c>
      <c r="V32" s="57">
        <v>0</v>
      </c>
      <c r="W32" s="57">
        <v>0</v>
      </c>
      <c r="X32" s="57">
        <v>0</v>
      </c>
      <c r="Y32" s="57">
        <f>'JHS-21'!BB15</f>
        <v>-151873.78184022103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f>'JHS-21'!CR15</f>
        <v>473655</v>
      </c>
      <c r="AI32" s="57">
        <v>0</v>
      </c>
      <c r="AJ32" s="57">
        <v>0</v>
      </c>
      <c r="AK32" s="57"/>
      <c r="AL32" s="1121">
        <f t="shared" ref="AL32:AL47" si="6">SUM(D32:AK32)</f>
        <v>21932741.686042137</v>
      </c>
      <c r="AM32" s="1121">
        <f t="shared" ref="AM32:AM46" si="7">AL32+C32</f>
        <v>124341933.36604214</v>
      </c>
      <c r="AN32" s="57">
        <f t="shared" ref="AN32:AN46" si="8">C32</f>
        <v>102409191.68000001</v>
      </c>
      <c r="AO32" s="1121">
        <f t="shared" ref="AO32:AO46" si="9">+AL32</f>
        <v>21932741.686042137</v>
      </c>
      <c r="AP32" s="1121">
        <f t="shared" ref="AP32:AP46" si="10">SUM(AN32:AO32)</f>
        <v>124341933.36604214</v>
      </c>
      <c r="AQ32" s="57">
        <v>0</v>
      </c>
      <c r="AR32" s="1121">
        <f t="shared" ref="AR32:AR46" si="11">SUM(AP32:AQ32)</f>
        <v>124341933.36604214</v>
      </c>
      <c r="AS32" s="110"/>
      <c r="AT32" s="1310"/>
      <c r="AU32" s="1068"/>
      <c r="AV32" s="1068"/>
      <c r="AW32" s="1068"/>
      <c r="AX32" s="1068"/>
      <c r="AY32" s="1068"/>
      <c r="AZ32" s="1068"/>
      <c r="BA32" s="1068"/>
      <c r="BB32" s="1068"/>
      <c r="BC32" s="1068"/>
      <c r="BD32" s="1068"/>
      <c r="BE32" s="1068"/>
      <c r="BF32" s="1068"/>
    </row>
    <row r="33" spans="1:58" s="1309" customFormat="1">
      <c r="A33" s="8">
        <f t="shared" si="2"/>
        <v>18</v>
      </c>
      <c r="B33" s="9" t="s">
        <v>1080</v>
      </c>
      <c r="C33" s="55">
        <v>11865442.939999999</v>
      </c>
      <c r="D33" s="55">
        <f>'JHS-20'!E31</f>
        <v>-29797.908649999881</v>
      </c>
      <c r="E33" s="55"/>
      <c r="F33" s="55"/>
      <c r="G33" s="55"/>
      <c r="H33" s="55"/>
      <c r="I33" s="55"/>
      <c r="J33" s="132">
        <f>'JHS-20'!AH28</f>
        <v>50883.154999999999</v>
      </c>
      <c r="K33" s="55"/>
      <c r="L33" s="55"/>
      <c r="M33" s="55"/>
      <c r="N33" s="303"/>
      <c r="O33" s="740"/>
      <c r="P33" s="55"/>
      <c r="Q33" s="55"/>
      <c r="R33" s="55"/>
      <c r="S33" s="55"/>
      <c r="T33" s="55"/>
      <c r="U33" s="55"/>
      <c r="V33" s="55"/>
      <c r="W33" s="55"/>
      <c r="X33" s="55">
        <v>0</v>
      </c>
      <c r="Y33" s="55">
        <f>'JHS-21'!BB16</f>
        <v>-25766.284519878944</v>
      </c>
      <c r="Z33" s="55"/>
      <c r="AA33" s="55"/>
      <c r="AB33" s="55"/>
      <c r="AC33" s="55"/>
      <c r="AD33" s="55"/>
      <c r="AE33" s="55"/>
      <c r="AF33" s="55"/>
      <c r="AG33" s="55"/>
      <c r="AH33" s="55">
        <f>+'JHS-21'!CR16</f>
        <v>86346</v>
      </c>
      <c r="AI33" s="55"/>
      <c r="AJ33" s="55"/>
      <c r="AK33" s="55"/>
      <c r="AL33" s="99">
        <f t="shared" si="6"/>
        <v>81664.961830121174</v>
      </c>
      <c r="AM33" s="99">
        <f t="shared" si="7"/>
        <v>11947107.90183012</v>
      </c>
      <c r="AN33" s="160">
        <f t="shared" si="8"/>
        <v>11865442.939999999</v>
      </c>
      <c r="AO33" s="99">
        <f t="shared" si="9"/>
        <v>81664.961830121174</v>
      </c>
      <c r="AP33" s="99">
        <f t="shared" si="10"/>
        <v>11947107.90183012</v>
      </c>
      <c r="AQ33" s="160"/>
      <c r="AR33" s="99">
        <f t="shared" si="11"/>
        <v>11947107.90183012</v>
      </c>
      <c r="AS33" s="57"/>
      <c r="AT33" s="1310"/>
      <c r="AU33" s="1068"/>
      <c r="AV33" s="1068"/>
      <c r="AW33" s="1068"/>
      <c r="AX33" s="1068"/>
      <c r="AY33" s="1068"/>
      <c r="AZ33" s="1068"/>
      <c r="BA33" s="1068"/>
      <c r="BB33" s="1068"/>
      <c r="BC33" s="1068"/>
      <c r="BD33" s="1068"/>
      <c r="BE33" s="1068"/>
      <c r="BF33" s="1068"/>
    </row>
    <row r="34" spans="1:58" s="1309" customFormat="1">
      <c r="A34" s="8">
        <f t="shared" si="2"/>
        <v>19</v>
      </c>
      <c r="B34" s="9" t="s">
        <v>1081</v>
      </c>
      <c r="C34" s="55">
        <v>82924735.199999794</v>
      </c>
      <c r="D34" s="55"/>
      <c r="E34" s="55"/>
      <c r="F34" s="55"/>
      <c r="G34" s="55"/>
      <c r="H34" s="55"/>
      <c r="I34" s="55"/>
      <c r="J34" s="55">
        <f>'JHS-20'!AI28</f>
        <v>-1606134.243333335</v>
      </c>
      <c r="K34" s="55"/>
      <c r="L34" s="55"/>
      <c r="M34" s="55"/>
      <c r="N34" s="303"/>
      <c r="O34" s="740"/>
      <c r="P34" s="55"/>
      <c r="Q34" s="55"/>
      <c r="R34" s="55"/>
      <c r="S34" s="55"/>
      <c r="T34" s="55"/>
      <c r="U34" s="55">
        <f>'JHS-21'!AD18</f>
        <v>-112533.50401471999</v>
      </c>
      <c r="V34" s="55"/>
      <c r="W34" s="55"/>
      <c r="X34" s="55">
        <v>0</v>
      </c>
      <c r="Y34" s="55">
        <f>'JHS-21'!BB17</f>
        <v>-173075.51319932425</v>
      </c>
      <c r="Z34" s="55"/>
      <c r="AA34" s="55"/>
      <c r="AB34" s="55"/>
      <c r="AC34" s="55"/>
      <c r="AD34" s="55"/>
      <c r="AE34" s="55"/>
      <c r="AF34" s="55"/>
      <c r="AG34" s="55"/>
      <c r="AH34" s="55">
        <f>+'JHS-21'!CR17</f>
        <v>523932</v>
      </c>
      <c r="AI34" s="55"/>
      <c r="AJ34" s="55"/>
      <c r="AK34" s="55"/>
      <c r="AL34" s="99">
        <f t="shared" si="6"/>
        <v>-1367811.2605473793</v>
      </c>
      <c r="AM34" s="99">
        <f t="shared" si="7"/>
        <v>81556923.93945241</v>
      </c>
      <c r="AN34" s="160">
        <f t="shared" si="8"/>
        <v>82924735.199999794</v>
      </c>
      <c r="AO34" s="99">
        <f t="shared" si="9"/>
        <v>-1367811.2605473793</v>
      </c>
      <c r="AP34" s="99">
        <f t="shared" si="10"/>
        <v>81556923.93945241</v>
      </c>
      <c r="AQ34" s="160"/>
      <c r="AR34" s="99">
        <f t="shared" si="11"/>
        <v>81556923.93945241</v>
      </c>
      <c r="AS34" s="55"/>
      <c r="AT34" s="1310"/>
      <c r="AU34" s="1068"/>
      <c r="AV34" s="1068"/>
      <c r="AW34" s="1068"/>
      <c r="AX34" s="1068"/>
      <c r="AY34" s="1068"/>
      <c r="AZ34" s="1068"/>
      <c r="BA34" s="1068"/>
      <c r="BB34" s="1068"/>
      <c r="BC34" s="1068"/>
      <c r="BD34" s="1068"/>
      <c r="BE34" s="1068"/>
      <c r="BF34" s="1068"/>
    </row>
    <row r="35" spans="1:58" s="1309" customFormat="1" ht="13.5">
      <c r="A35" s="8">
        <f t="shared" si="2"/>
        <v>20</v>
      </c>
      <c r="B35" s="9" t="s">
        <v>234</v>
      </c>
      <c r="C35" s="55">
        <v>50172085.519204006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303"/>
      <c r="O35" s="740"/>
      <c r="P35" s="55">
        <f>'JHS-21'!F43</f>
        <v>92864</v>
      </c>
      <c r="Q35" s="55">
        <f>+'JHS-21'!K49</f>
        <v>-24166.845685354172</v>
      </c>
      <c r="R35" s="55">
        <f>'JHS-21'!Q26</f>
        <v>-494470.92816037743</v>
      </c>
      <c r="S35" s="55"/>
      <c r="T35" s="55"/>
      <c r="U35" s="55"/>
      <c r="V35" s="55"/>
      <c r="W35" s="55"/>
      <c r="X35" s="55">
        <f>'JHS-21'!AW25</f>
        <v>-2520278</v>
      </c>
      <c r="Y35" s="55">
        <f>'JHS-21'!BB18</f>
        <v>-102159.13737204939</v>
      </c>
      <c r="Z35" s="55"/>
      <c r="AA35" s="55"/>
      <c r="AB35" s="55">
        <f>'JHS-21'!BT13</f>
        <v>0</v>
      </c>
      <c r="AC35" s="55">
        <f>'JHS-21'!BU13</f>
        <v>47149</v>
      </c>
      <c r="AD35" s="55"/>
      <c r="AE35" s="55"/>
      <c r="AF35" s="55"/>
      <c r="AG35" s="55"/>
      <c r="AH35" s="55">
        <f>+'JHS-21'!CR18</f>
        <v>305869</v>
      </c>
      <c r="AI35" s="55"/>
      <c r="AJ35" s="55"/>
      <c r="AK35" s="55"/>
      <c r="AL35" s="99">
        <f t="shared" si="6"/>
        <v>-2695192.9112177812</v>
      </c>
      <c r="AM35" s="99">
        <f t="shared" si="7"/>
        <v>47476892.607986227</v>
      </c>
      <c r="AN35" s="160">
        <f t="shared" si="8"/>
        <v>50172085.519204006</v>
      </c>
      <c r="AO35" s="99">
        <f t="shared" si="9"/>
        <v>-2695192.9112177812</v>
      </c>
      <c r="AP35" s="99">
        <f t="shared" si="10"/>
        <v>47476892.607986227</v>
      </c>
      <c r="AQ35" s="1190">
        <f>+'JHS-22'!C22*'JHS-22'!M13</f>
        <v>281391.27583599999</v>
      </c>
      <c r="AR35" s="1100">
        <f t="shared" si="11"/>
        <v>47758283.883822225</v>
      </c>
      <c r="AS35" s="55"/>
      <c r="AT35" s="1310"/>
      <c r="AU35" s="1068"/>
      <c r="AV35" s="1068"/>
      <c r="AW35" s="1068"/>
      <c r="AX35" s="1068"/>
      <c r="AY35" s="1068"/>
      <c r="AZ35" s="1068"/>
      <c r="BA35" s="1068"/>
      <c r="BB35" s="1068"/>
      <c r="BC35" s="1068"/>
      <c r="BD35" s="1068"/>
      <c r="BE35" s="1068"/>
      <c r="BF35" s="1068"/>
    </row>
    <row r="36" spans="1:58" s="1309" customFormat="1">
      <c r="A36" s="8">
        <f t="shared" si="2"/>
        <v>21</v>
      </c>
      <c r="B36" s="9" t="s">
        <v>924</v>
      </c>
      <c r="C36" s="55">
        <v>13431631.961951999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03"/>
      <c r="O36" s="740"/>
      <c r="P36" s="55"/>
      <c r="Q36" s="55"/>
      <c r="R36" s="55">
        <f>'JHS-21'!Q34+'JHS-21'!Q36</f>
        <v>-11759102.609999999</v>
      </c>
      <c r="S36" s="55"/>
      <c r="T36" s="55"/>
      <c r="U36" s="55"/>
      <c r="V36" s="55"/>
      <c r="W36" s="55"/>
      <c r="X36" s="55"/>
      <c r="Y36" s="55">
        <f>'JHS-21'!BB19+'JHS-21'!BB20</f>
        <v>-10512.851308488036</v>
      </c>
      <c r="Z36" s="55"/>
      <c r="AA36" s="55"/>
      <c r="AB36" s="55"/>
      <c r="AC36" s="55"/>
      <c r="AD36" s="55"/>
      <c r="AE36" s="55"/>
      <c r="AF36" s="55"/>
      <c r="AG36" s="55"/>
      <c r="AH36" s="55">
        <f>+'JHS-21'!CR19+'JHS-21'!CR20</f>
        <v>34737</v>
      </c>
      <c r="AI36" s="55"/>
      <c r="AJ36" s="55"/>
      <c r="AK36" s="55"/>
      <c r="AL36" s="99">
        <f t="shared" si="6"/>
        <v>-11734878.461308487</v>
      </c>
      <c r="AM36" s="99">
        <f t="shared" si="7"/>
        <v>1696753.5006435122</v>
      </c>
      <c r="AN36" s="160">
        <f t="shared" si="8"/>
        <v>13431631.961951999</v>
      </c>
      <c r="AO36" s="99">
        <f t="shared" si="9"/>
        <v>-11734878.461308487</v>
      </c>
      <c r="AP36" s="99">
        <f t="shared" si="10"/>
        <v>1696753.5006435122</v>
      </c>
      <c r="AQ36" s="160"/>
      <c r="AR36" s="99">
        <f t="shared" si="11"/>
        <v>1696753.5006435122</v>
      </c>
      <c r="AS36" s="55"/>
      <c r="AT36" s="1310"/>
      <c r="AU36" s="1068"/>
      <c r="AV36" s="1068"/>
      <c r="AW36" s="1068"/>
      <c r="AX36" s="1068"/>
      <c r="AY36" s="1068"/>
      <c r="AZ36" s="1068"/>
      <c r="BA36" s="1068"/>
      <c r="BB36" s="1068"/>
      <c r="BC36" s="1068"/>
      <c r="BD36" s="1068"/>
      <c r="BE36" s="1068"/>
      <c r="BF36" s="1068"/>
    </row>
    <row r="37" spans="1:58" s="1309" customFormat="1">
      <c r="A37" s="8">
        <f t="shared" si="2"/>
        <v>22</v>
      </c>
      <c r="B37" s="9" t="s">
        <v>930</v>
      </c>
      <c r="C37" s="55">
        <v>75336909.450000003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303"/>
      <c r="O37" s="740"/>
      <c r="P37" s="55"/>
      <c r="Q37" s="55"/>
      <c r="R37" s="55">
        <f>'JHS-21'!Q32</f>
        <v>-75334320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99">
        <f t="shared" si="6"/>
        <v>-75334320</v>
      </c>
      <c r="AM37" s="99">
        <f t="shared" si="7"/>
        <v>2589.4500000029802</v>
      </c>
      <c r="AN37" s="160">
        <f t="shared" si="8"/>
        <v>75336909.450000003</v>
      </c>
      <c r="AO37" s="99">
        <f t="shared" si="9"/>
        <v>-75334320</v>
      </c>
      <c r="AP37" s="99">
        <f t="shared" si="10"/>
        <v>2589.4500000029802</v>
      </c>
      <c r="AQ37" s="160"/>
      <c r="AR37" s="160">
        <f t="shared" si="11"/>
        <v>2589.4500000029802</v>
      </c>
      <c r="AS37" s="55"/>
      <c r="AT37" s="1310"/>
      <c r="AU37" s="1068"/>
      <c r="AV37" s="1068"/>
      <c r="AW37" s="1068"/>
      <c r="AX37" s="1068"/>
      <c r="AY37" s="1068"/>
      <c r="AZ37" s="1068"/>
      <c r="BA37" s="1068"/>
      <c r="BB37" s="1068"/>
      <c r="BC37" s="1068"/>
      <c r="BD37" s="1068"/>
      <c r="BE37" s="1068"/>
      <c r="BF37" s="1068"/>
    </row>
    <row r="38" spans="1:58" s="1309" customFormat="1" ht="13.5">
      <c r="A38" s="8">
        <f t="shared" si="2"/>
        <v>23</v>
      </c>
      <c r="B38" s="9" t="s">
        <v>931</v>
      </c>
      <c r="C38" s="55">
        <v>94643935.078651905</v>
      </c>
      <c r="D38" s="55"/>
      <c r="E38" s="1312">
        <f>'JHS-20'!J31</f>
        <v>521840.79016554449</v>
      </c>
      <c r="F38" s="55"/>
      <c r="G38" s="55"/>
      <c r="H38" s="55"/>
      <c r="I38" s="55"/>
      <c r="J38" s="55"/>
      <c r="K38" s="55"/>
      <c r="L38" s="55"/>
      <c r="M38" s="55"/>
      <c r="N38" s="303">
        <f>'JHS-20'!BC22+'JHS-20'!BC42</f>
        <v>-175625.14479635016</v>
      </c>
      <c r="O38" s="740"/>
      <c r="P38" s="55">
        <f>'JHS-21'!F44</f>
        <v>41793</v>
      </c>
      <c r="Q38" s="55">
        <f>+'JHS-21'!K50</f>
        <v>-10876.168175226901</v>
      </c>
      <c r="R38" s="55">
        <f>'JHS-21'!Q27+'JHS-21'!Q37</f>
        <v>-275781.17108927877</v>
      </c>
      <c r="S38" s="55"/>
      <c r="T38" s="55"/>
      <c r="U38" s="140">
        <f>'JHS-21'!AD19+'JHS-21'!AD20+'JHS-21'!AD21+'JHS-21'!AD23+'JHS-21'!AD25+'JHS-21'!AD24</f>
        <v>1486933.4915363076</v>
      </c>
      <c r="V38" s="55" t="s">
        <v>939</v>
      </c>
      <c r="W38" s="55">
        <f>'JHS-21'!AN17</f>
        <v>1116335.9198201378</v>
      </c>
      <c r="X38" s="55"/>
      <c r="Y38" s="55">
        <f>'JHS-21'!BB21</f>
        <v>-189642.29481065739</v>
      </c>
      <c r="Z38" s="55"/>
      <c r="AA38" s="55">
        <f>+'JHS-21'!BL19</f>
        <v>0</v>
      </c>
      <c r="AB38" s="55">
        <f>'JHS-21'!BQ15</f>
        <v>-51667.348452381673</v>
      </c>
      <c r="AC38" s="55"/>
      <c r="AD38" s="140">
        <f>'JHS-21'!BY28</f>
        <v>-68325</v>
      </c>
      <c r="AE38" s="55"/>
      <c r="AF38" s="140">
        <f>'JHS-21'!CH15</f>
        <v>191503.83265152527</v>
      </c>
      <c r="AG38" s="140">
        <f>'JHS-21'!CM15</f>
        <v>1846129.0563486759</v>
      </c>
      <c r="AH38" s="55">
        <f>+'JHS-21'!CR21</f>
        <v>648607</v>
      </c>
      <c r="AI38" s="55">
        <f>'JHS-21'!CW37</f>
        <v>128651.67318582349</v>
      </c>
      <c r="AJ38" s="55">
        <f>'JHS-21'!DB20</f>
        <v>17347</v>
      </c>
      <c r="AK38" s="55"/>
      <c r="AL38" s="99">
        <f t="shared" si="6"/>
        <v>5227224.6363841202</v>
      </c>
      <c r="AM38" s="99">
        <f t="shared" si="7"/>
        <v>99871159.71503602</v>
      </c>
      <c r="AN38" s="160">
        <f t="shared" si="8"/>
        <v>94643935.078651905</v>
      </c>
      <c r="AO38" s="99">
        <f t="shared" si="9"/>
        <v>5227224.6363841202</v>
      </c>
      <c r="AP38" s="99">
        <f t="shared" si="10"/>
        <v>99871159.71503602</v>
      </c>
      <c r="AQ38" s="1190">
        <f>+'JHS-22'!C22*('JHS-22'!M14)</f>
        <v>126638.738</v>
      </c>
      <c r="AR38" s="1100">
        <f t="shared" si="11"/>
        <v>99997798.453036025</v>
      </c>
      <c r="AS38" s="55"/>
      <c r="AT38" s="1310"/>
      <c r="AU38" s="1068"/>
      <c r="AV38" s="1068"/>
      <c r="AW38" s="1068"/>
      <c r="AX38" s="1068"/>
      <c r="AY38" s="1068"/>
      <c r="AZ38" s="1068"/>
      <c r="BA38" s="1068"/>
      <c r="BB38" s="1068"/>
      <c r="BC38" s="1068"/>
      <c r="BD38" s="1068"/>
      <c r="BE38" s="1068"/>
      <c r="BF38" s="1068"/>
    </row>
    <row r="39" spans="1:58" s="1309" customFormat="1">
      <c r="A39" s="8">
        <f t="shared" si="2"/>
        <v>24</v>
      </c>
      <c r="B39" s="9" t="s">
        <v>1283</v>
      </c>
      <c r="C39" s="55">
        <v>190245449.44014102</v>
      </c>
      <c r="D39" s="55"/>
      <c r="E39" s="55">
        <f>'JHS-20'!J24</f>
        <v>32822238.537932001</v>
      </c>
      <c r="F39" s="55"/>
      <c r="G39" s="55"/>
      <c r="H39" s="55">
        <f>'JHS-20'!Y21</f>
        <v>-275496.65999999997</v>
      </c>
      <c r="I39" s="55"/>
      <c r="J39" s="55"/>
      <c r="K39" s="55"/>
      <c r="L39" s="55"/>
      <c r="M39" s="55"/>
      <c r="N39" s="303">
        <f>'JHS-20'!BC25</f>
        <v>-2009403.7206577929</v>
      </c>
      <c r="O39" s="740"/>
      <c r="P39" s="55"/>
      <c r="Q39" s="55"/>
      <c r="R39" s="55"/>
      <c r="S39" s="55"/>
      <c r="T39" s="55"/>
      <c r="U39" s="55"/>
      <c r="V39" s="55">
        <f>'JHS-21'!AI19</f>
        <v>-1059158.0399899296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99">
        <f t="shared" si="6"/>
        <v>29478180.117284279</v>
      </c>
      <c r="AM39" s="99">
        <f t="shared" si="7"/>
        <v>219723629.55742529</v>
      </c>
      <c r="AN39" s="160">
        <f t="shared" si="8"/>
        <v>190245449.44014102</v>
      </c>
      <c r="AO39" s="99">
        <f t="shared" si="9"/>
        <v>29478180.117284279</v>
      </c>
      <c r="AP39" s="99">
        <f t="shared" si="10"/>
        <v>219723629.55742529</v>
      </c>
      <c r="AQ39" s="160"/>
      <c r="AR39" s="99">
        <f t="shared" si="11"/>
        <v>219723629.55742529</v>
      </c>
      <c r="AS39" s="55"/>
      <c r="AT39" s="1310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1068"/>
      <c r="BE39" s="1068"/>
      <c r="BF39" s="1068"/>
    </row>
    <row r="40" spans="1:58" s="1309" customFormat="1">
      <c r="A40" s="8">
        <f t="shared" si="2"/>
        <v>25</v>
      </c>
      <c r="B40" s="9" t="s">
        <v>341</v>
      </c>
      <c r="C40" s="55">
        <v>40184320.893569</v>
      </c>
      <c r="D40" s="55"/>
      <c r="E40" s="55"/>
      <c r="F40" s="55"/>
      <c r="G40" s="55"/>
      <c r="H40" s="55"/>
      <c r="I40" s="55"/>
      <c r="J40" s="1242"/>
      <c r="K40" s="55"/>
      <c r="L40" s="55"/>
      <c r="M40" s="55">
        <f>'JHS-20'!AY39</f>
        <v>-0.25999999046325684</v>
      </c>
      <c r="N40" s="303">
        <f>'JHS-20'!BC26</f>
        <v>-236432.24976610002</v>
      </c>
      <c r="O40" s="740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99">
        <f t="shared" si="6"/>
        <v>-236432.50976609049</v>
      </c>
      <c r="AM40" s="99">
        <f t="shared" si="7"/>
        <v>39947888.383802913</v>
      </c>
      <c r="AN40" s="160">
        <f t="shared" si="8"/>
        <v>40184320.893569</v>
      </c>
      <c r="AO40" s="99">
        <f t="shared" si="9"/>
        <v>-236432.50976609049</v>
      </c>
      <c r="AP40" s="99">
        <f t="shared" si="10"/>
        <v>39947888.383802913</v>
      </c>
      <c r="AQ40" s="160"/>
      <c r="AR40" s="99">
        <f t="shared" si="11"/>
        <v>39947888.383802913</v>
      </c>
      <c r="AS40" s="55"/>
      <c r="AT40" s="1310"/>
      <c r="AU40" s="1068"/>
      <c r="AV40" s="1068"/>
      <c r="AW40" s="1068"/>
      <c r="AX40" s="1068"/>
      <c r="AY40" s="1068"/>
      <c r="AZ40" s="1068"/>
      <c r="BA40" s="1068"/>
      <c r="BB40" s="1068"/>
      <c r="BC40" s="1068"/>
      <c r="BD40" s="1068"/>
      <c r="BE40" s="1068"/>
      <c r="BF40" s="1068"/>
    </row>
    <row r="41" spans="1:58" s="1309" customFormat="1">
      <c r="A41" s="8">
        <f t="shared" si="2"/>
        <v>26</v>
      </c>
      <c r="B41" s="43" t="s">
        <v>1247</v>
      </c>
      <c r="C41" s="55">
        <v>17493030.989999998</v>
      </c>
      <c r="D41" s="55"/>
      <c r="E41" s="55"/>
      <c r="F41" s="55"/>
      <c r="G41" s="55"/>
      <c r="H41" s="55"/>
      <c r="I41" s="55"/>
      <c r="J41" s="55">
        <f>'JHS-20'!AJ54</f>
        <v>-520924.65980769135</v>
      </c>
      <c r="K41" s="55"/>
      <c r="L41" s="55"/>
      <c r="M41" s="55"/>
      <c r="N41" s="303">
        <f>+'JHS-20'!BC48</f>
        <v>-31373.789146270828</v>
      </c>
      <c r="O41" s="740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 t="s">
        <v>939</v>
      </c>
      <c r="AF41" s="55"/>
      <c r="AG41" s="55"/>
      <c r="AH41" s="55"/>
      <c r="AI41" s="55"/>
      <c r="AJ41" s="55"/>
      <c r="AK41" s="55"/>
      <c r="AL41" s="99">
        <f t="shared" si="6"/>
        <v>-552298.44895396219</v>
      </c>
      <c r="AM41" s="99">
        <f t="shared" si="7"/>
        <v>16940732.541046035</v>
      </c>
      <c r="AN41" s="160">
        <f t="shared" si="8"/>
        <v>17493030.989999998</v>
      </c>
      <c r="AO41" s="99">
        <f t="shared" si="9"/>
        <v>-552298.44895396219</v>
      </c>
      <c r="AP41" s="99">
        <f t="shared" si="10"/>
        <v>16940732.541046035</v>
      </c>
      <c r="AQ41" s="160"/>
      <c r="AR41" s="99">
        <f t="shared" si="11"/>
        <v>16940732.541046035</v>
      </c>
      <c r="AS41" s="55"/>
      <c r="AT41" s="1310"/>
      <c r="AU41" s="1068"/>
      <c r="AV41" s="1068"/>
      <c r="AW41" s="1068"/>
      <c r="AX41" s="1068"/>
      <c r="AY41" s="1068"/>
      <c r="AZ41" s="1068"/>
      <c r="BA41" s="1068"/>
      <c r="BB41" s="1068"/>
      <c r="BC41" s="1068"/>
      <c r="BD41" s="1068"/>
      <c r="BE41" s="1068"/>
      <c r="BF41" s="1068"/>
    </row>
    <row r="42" spans="1:58" s="1309" customFormat="1" ht="13.5">
      <c r="A42" s="8">
        <f t="shared" si="2"/>
        <v>27</v>
      </c>
      <c r="B42" s="9" t="s">
        <v>932</v>
      </c>
      <c r="C42" s="55">
        <v>30169560.109999999</v>
      </c>
      <c r="D42" s="55"/>
      <c r="E42" s="55"/>
      <c r="F42" s="55">
        <f>+'JHS-20'!O28</f>
        <v>697744.73901240679</v>
      </c>
      <c r="G42" s="55"/>
      <c r="H42" s="55"/>
      <c r="I42" s="55"/>
      <c r="J42" s="55"/>
      <c r="K42" s="55"/>
      <c r="L42" s="55"/>
      <c r="M42" s="55">
        <f>'JHS-20'!AY41+'JHS-20'!AY45+'JHS-20'!AY46+'JHS-20'!AY48</f>
        <v>-5285875.8966149855</v>
      </c>
      <c r="N42" s="1192">
        <f>'JHS-20'!BC55+'JHS-20'!BC51+'JHS-20'!BC56+'JHS-20'!BC58+'JHS-20'!BC60+'JHS-20'!BC62</f>
        <v>-176644.96611509161</v>
      </c>
      <c r="O42" s="1193">
        <f>'JHS-20'!BI18</f>
        <v>4580590.941704548</v>
      </c>
      <c r="P42" s="55"/>
      <c r="Q42" s="55">
        <f>'JHS-21'!L47</f>
        <v>-7273471</v>
      </c>
      <c r="R42" s="55">
        <f>'JHS-21'!Q39</f>
        <v>-21591916</v>
      </c>
      <c r="S42" s="55"/>
      <c r="T42" s="55"/>
      <c r="U42" s="55">
        <f>+'JHS-21'!AD15+'JHS-21'!AD14</f>
        <v>5360249.57</v>
      </c>
      <c r="V42" s="55"/>
      <c r="W42" s="55"/>
      <c r="X42" s="55"/>
      <c r="Y42" s="55"/>
      <c r="Z42" s="55"/>
      <c r="AA42" s="55"/>
      <c r="AB42" s="55"/>
      <c r="AC42" s="55"/>
      <c r="AD42" s="55"/>
      <c r="AE42" s="55">
        <f>'JHS-21'!CC27</f>
        <v>1582024.8166666673</v>
      </c>
      <c r="AF42" s="55"/>
      <c r="AG42" s="55"/>
      <c r="AH42" s="55"/>
      <c r="AI42" s="55"/>
      <c r="AJ42" s="55"/>
      <c r="AK42" s="55"/>
      <c r="AL42" s="1100">
        <f t="shared" si="6"/>
        <v>-22107297.795346458</v>
      </c>
      <c r="AM42" s="1100">
        <f t="shared" si="7"/>
        <v>8062262.3146535419</v>
      </c>
      <c r="AN42" s="160">
        <f t="shared" si="8"/>
        <v>30169560.109999999</v>
      </c>
      <c r="AO42" s="1100">
        <f t="shared" si="9"/>
        <v>-22107297.795346458</v>
      </c>
      <c r="AP42" s="1100">
        <f t="shared" si="10"/>
        <v>8062262.3146535419</v>
      </c>
      <c r="AQ42" s="160"/>
      <c r="AR42" s="1100">
        <f t="shared" si="11"/>
        <v>8062262.3146535419</v>
      </c>
      <c r="AS42" s="55"/>
      <c r="AT42" s="1310"/>
      <c r="AU42" s="1068"/>
      <c r="AV42" s="1068"/>
      <c r="AW42" s="1068"/>
      <c r="AX42" s="1068"/>
      <c r="AY42" s="1068"/>
      <c r="AZ42" s="1068"/>
      <c r="BA42" s="1068"/>
      <c r="BB42" s="1068"/>
      <c r="BC42" s="1068"/>
      <c r="BD42" s="1068"/>
      <c r="BE42" s="1068"/>
      <c r="BF42" s="1068"/>
    </row>
    <row r="43" spans="1:58" s="1309" customFormat="1">
      <c r="A43" s="8">
        <f t="shared" si="2"/>
        <v>28</v>
      </c>
      <c r="B43" s="1242" t="s">
        <v>282</v>
      </c>
      <c r="C43" s="55">
        <v>166953096.89999899</v>
      </c>
      <c r="D43" s="1242"/>
      <c r="E43" s="1242"/>
      <c r="F43" s="1242"/>
      <c r="G43" s="1242"/>
      <c r="H43" s="1242"/>
      <c r="I43" s="129">
        <f>'JHS-20'!AD13</f>
        <v>-166953096.89999899</v>
      </c>
      <c r="J43" s="1242"/>
      <c r="K43" s="1242"/>
      <c r="L43" s="1242"/>
      <c r="M43" s="1242"/>
      <c r="N43" s="303"/>
      <c r="O43" s="740"/>
      <c r="P43" s="1242"/>
      <c r="Q43" s="1242"/>
      <c r="R43" s="1242"/>
      <c r="S43" s="1242"/>
      <c r="T43" s="1242"/>
      <c r="U43" s="1242"/>
      <c r="V43" s="1242"/>
      <c r="W43" s="1242"/>
      <c r="X43" s="1242"/>
      <c r="Y43" s="1242"/>
      <c r="Z43" s="1242"/>
      <c r="AA43" s="1242"/>
      <c r="AB43" s="1242"/>
      <c r="AC43" s="1242"/>
      <c r="AD43" s="1242"/>
      <c r="AE43" s="1242"/>
      <c r="AF43" s="1242"/>
      <c r="AG43" s="1242"/>
      <c r="AH43" s="1242"/>
      <c r="AI43" s="1242"/>
      <c r="AJ43" s="1242"/>
      <c r="AK43" s="1242"/>
      <c r="AL43" s="99">
        <f t="shared" si="6"/>
        <v>-166953096.89999899</v>
      </c>
      <c r="AM43" s="99">
        <f t="shared" si="7"/>
        <v>0</v>
      </c>
      <c r="AN43" s="160">
        <f t="shared" si="8"/>
        <v>166953096.89999899</v>
      </c>
      <c r="AO43" s="99">
        <f t="shared" si="9"/>
        <v>-166953096.89999899</v>
      </c>
      <c r="AP43" s="99">
        <f t="shared" si="10"/>
        <v>0</v>
      </c>
      <c r="AQ43" s="160"/>
      <c r="AR43" s="99">
        <f t="shared" si="11"/>
        <v>0</v>
      </c>
      <c r="AS43" s="55"/>
      <c r="AT43" s="1310"/>
      <c r="AU43" s="1068"/>
      <c r="AV43" s="1068"/>
      <c r="AW43" s="1068"/>
      <c r="AX43" s="1068"/>
      <c r="AY43" s="1068"/>
      <c r="AZ43" s="1068"/>
      <c r="BA43" s="1068"/>
      <c r="BB43" s="1068"/>
      <c r="BC43" s="1068"/>
      <c r="BD43" s="1068"/>
      <c r="BE43" s="1068"/>
      <c r="BF43" s="1068"/>
    </row>
    <row r="44" spans="1:58" s="1309" customFormat="1" ht="13.5">
      <c r="A44" s="8">
        <f t="shared" si="2"/>
        <v>29</v>
      </c>
      <c r="B44" s="9" t="s">
        <v>1040</v>
      </c>
      <c r="C44" s="55">
        <v>193255906.60698599</v>
      </c>
      <c r="D44" s="1102">
        <f>-'JHS-20'!E37</f>
        <v>117001.00262366654</v>
      </c>
      <c r="E44" s="1190">
        <f>'JHS-20'!J32</f>
        <v>1932987</v>
      </c>
      <c r="F44" s="160"/>
      <c r="G44" s="1102">
        <f>'JHS-20'!T18</f>
        <v>140892.08415000024</v>
      </c>
      <c r="H44" s="55"/>
      <c r="I44" s="55"/>
      <c r="J44" s="55"/>
      <c r="K44" s="55"/>
      <c r="L44" s="160"/>
      <c r="M44" s="160"/>
      <c r="N44" s="1192">
        <f>'JHS-20'!BC34+'JHS-20'!BC43</f>
        <v>-416817.07280439558</v>
      </c>
      <c r="O44" s="740"/>
      <c r="P44" s="55">
        <f>+'JHS-21'!G48</f>
        <v>805724</v>
      </c>
      <c r="Q44" s="55">
        <f>+'JHS-21'!L54</f>
        <v>-209681.64625019944</v>
      </c>
      <c r="R44" s="160">
        <f>'JHS-21'!Q38+'JHS-21'!Q28+'JHS-21'!Q33</f>
        <v>-76449191.244430214</v>
      </c>
      <c r="S44" s="55"/>
      <c r="T44" s="55"/>
      <c r="U44" s="55">
        <f>'JHS-21'!AD22</f>
        <v>-27777.135509384763</v>
      </c>
      <c r="V44" s="55"/>
      <c r="W44" s="55"/>
      <c r="X44" s="55"/>
      <c r="Y44" s="160">
        <f>'JHS-21'!BB24</f>
        <v>-56310.824413480994</v>
      </c>
      <c r="Z44" s="1102">
        <f>'JHS-21'!BH15</f>
        <v>4670973.0799999982</v>
      </c>
      <c r="AA44" s="55">
        <f>'JHS-21'!BL15</f>
        <v>309198.42278499901</v>
      </c>
      <c r="AB44" s="55"/>
      <c r="AC44" s="55"/>
      <c r="AD44" s="55"/>
      <c r="AE44" s="55"/>
      <c r="AF44" s="55"/>
      <c r="AG44" s="55"/>
      <c r="AH44" s="55">
        <f>+'JHS-21'!CR24</f>
        <v>142046</v>
      </c>
      <c r="AI44" s="55"/>
      <c r="AJ44" s="55"/>
      <c r="AK44" s="55"/>
      <c r="AL44" s="1100">
        <f t="shared" si="6"/>
        <v>-69040956.333849013</v>
      </c>
      <c r="AM44" s="1100">
        <f t="shared" si="7"/>
        <v>124214950.27313697</v>
      </c>
      <c r="AN44" s="160">
        <f t="shared" si="8"/>
        <v>193255906.60698599</v>
      </c>
      <c r="AO44" s="1100">
        <f t="shared" si="9"/>
        <v>-69040956.333849013</v>
      </c>
      <c r="AP44" s="1100">
        <f t="shared" si="10"/>
        <v>124214950.27313697</v>
      </c>
      <c r="AQ44" s="1190">
        <f>+'JHS-22'!C22*'JHS-22'!M15</f>
        <v>2441468.2299020002</v>
      </c>
      <c r="AR44" s="1100">
        <f t="shared" si="11"/>
        <v>126656418.50303897</v>
      </c>
      <c r="AS44" s="55"/>
      <c r="AT44" s="1310"/>
      <c r="AU44" s="1068"/>
      <c r="AV44" s="1068"/>
      <c r="AW44" s="1068"/>
      <c r="AX44" s="1068"/>
      <c r="AY44" s="1068"/>
      <c r="AZ44" s="1068"/>
      <c r="BA44" s="1068"/>
      <c r="BB44" s="1068"/>
      <c r="BC44" s="1068"/>
      <c r="BD44" s="1068"/>
      <c r="BE44" s="1068"/>
      <c r="BF44" s="1068"/>
    </row>
    <row r="45" spans="1:58" s="1309" customFormat="1" ht="13.5">
      <c r="A45" s="8">
        <f t="shared" si="2"/>
        <v>30</v>
      </c>
      <c r="B45" s="9" t="s">
        <v>1041</v>
      </c>
      <c r="C45" s="55">
        <v>16263334</v>
      </c>
      <c r="D45" s="1102">
        <f>'JHS-20'!E39</f>
        <v>66275067.646916978</v>
      </c>
      <c r="E45" s="1102">
        <f>'JHS-20'!J37</f>
        <v>-17147563</v>
      </c>
      <c r="F45" s="55">
        <f>'JHS-20'!O32</f>
        <v>-391282</v>
      </c>
      <c r="G45" s="1102">
        <f>'JHS-20'!T20</f>
        <v>-49312.229452500083</v>
      </c>
      <c r="H45" s="55">
        <f>'JHS-20'!Y25</f>
        <v>96424</v>
      </c>
      <c r="I45" s="55"/>
      <c r="J45" s="55">
        <f>'JHS-20'!AJ58</f>
        <v>726661.51184935938</v>
      </c>
      <c r="K45" s="55">
        <f>'JHS-20'!AO30+'JHS-20'!AO31</f>
        <v>7247900</v>
      </c>
      <c r="L45" s="55">
        <f>'JHS-20'!AT31</f>
        <v>-2480823</v>
      </c>
      <c r="M45" s="1102">
        <f>'JHS-20'!AY61</f>
        <v>2374651.1141107637</v>
      </c>
      <c r="N45" s="1192">
        <f>'JHS-20'!BD68</f>
        <v>1398673.3576827715</v>
      </c>
      <c r="O45" s="1193">
        <f>'JHS-20'!BI20</f>
        <v>-1603206.8295965916</v>
      </c>
      <c r="P45" s="55">
        <f>'JHS-21'!G52</f>
        <v>6984616</v>
      </c>
      <c r="Q45" s="55">
        <f>'JHS-21'!L58</f>
        <v>728039</v>
      </c>
      <c r="R45" s="55">
        <f>'JHS-21'!Q43</f>
        <v>-165008.85483583211</v>
      </c>
      <c r="S45" s="55">
        <f>'JHS-21'!U30</f>
        <v>-81996936.198214993</v>
      </c>
      <c r="T45" s="1102">
        <f>'JHS-21'!Y22</f>
        <v>-52657745.43294999</v>
      </c>
      <c r="U45" s="55">
        <f>+'JHS-21'!AD29</f>
        <v>-2320167</v>
      </c>
      <c r="V45" s="55">
        <f>'JHS-21'!AI23</f>
        <v>370705.31399647536</v>
      </c>
      <c r="W45" s="55">
        <f>'JHS-21'!AN18</f>
        <v>-390718</v>
      </c>
      <c r="X45" s="55">
        <f>'JHS-21'!AW27</f>
        <v>882097</v>
      </c>
      <c r="Y45" s="55">
        <f>'JHS-21'!BB29</f>
        <v>259656</v>
      </c>
      <c r="Z45" s="1102">
        <f>'JHS-21'!BH17</f>
        <v>-1634841</v>
      </c>
      <c r="AA45" s="55">
        <f>'JHS-21'!BL23</f>
        <v>-108219</v>
      </c>
      <c r="AB45" s="55">
        <f>'JHS-21'!BQ17</f>
        <v>18083.571958333585</v>
      </c>
      <c r="AC45" s="55"/>
      <c r="AD45" s="57">
        <f>'JHS-21'!BY30</f>
        <v>23913.75</v>
      </c>
      <c r="AE45" s="55">
        <f>'JHS-21'!CC29</f>
        <v>-553708.68583333353</v>
      </c>
      <c r="AF45" s="55">
        <f>'JHS-21'!CH19</f>
        <v>-67026.341428033847</v>
      </c>
      <c r="AG45" s="55">
        <f>'JHS-21'!CM17</f>
        <v>-646145.16972203646</v>
      </c>
      <c r="AH45" s="55">
        <f>+'JHS-21'!CR28</f>
        <v>-814600.5</v>
      </c>
      <c r="AI45" s="55">
        <f>'JHS-21'!CW39</f>
        <v>-45028</v>
      </c>
      <c r="AJ45" s="55">
        <f>'JHS-21'!DB22</f>
        <v>-6071</v>
      </c>
      <c r="AK45" s="55"/>
      <c r="AL45" s="1100">
        <f t="shared" si="6"/>
        <v>-75691913.975518629</v>
      </c>
      <c r="AM45" s="1100">
        <f t="shared" si="7"/>
        <v>-59428579.975518629</v>
      </c>
      <c r="AN45" s="160">
        <f t="shared" si="8"/>
        <v>16263334</v>
      </c>
      <c r="AO45" s="1100">
        <f t="shared" si="9"/>
        <v>-75691913.975518629</v>
      </c>
      <c r="AP45" s="1100">
        <f t="shared" si="10"/>
        <v>-59428579.975518629</v>
      </c>
      <c r="AQ45" s="1190">
        <f>+'JHS-22'!C22*'JHS-22'!M20</f>
        <v>21164435.768881001</v>
      </c>
      <c r="AR45" s="1100">
        <f t="shared" si="11"/>
        <v>-38264144.206637628</v>
      </c>
      <c r="AS45" s="55"/>
      <c r="AT45" s="1310"/>
      <c r="AU45" s="1310"/>
      <c r="AV45" s="1068"/>
      <c r="AW45" s="1068"/>
      <c r="AX45" s="1068"/>
      <c r="AY45" s="1068"/>
      <c r="AZ45" s="1068"/>
      <c r="BA45" s="1068"/>
      <c r="BB45" s="1068"/>
      <c r="BC45" s="1068"/>
      <c r="BD45" s="1068"/>
      <c r="BE45" s="1068"/>
      <c r="BF45" s="1068"/>
    </row>
    <row r="46" spans="1:58" s="1309" customFormat="1">
      <c r="A46" s="8">
        <f t="shared" si="2"/>
        <v>31</v>
      </c>
      <c r="B46" s="1242" t="s">
        <v>933</v>
      </c>
      <c r="C46" s="724">
        <v>-32436237.480999999</v>
      </c>
      <c r="D46" s="5"/>
      <c r="E46" s="99"/>
      <c r="F46" s="99"/>
      <c r="G46" s="5"/>
      <c r="H46" s="99"/>
      <c r="I46" s="55">
        <f>'JHS-20'!AD19</f>
        <v>58433583.914999641</v>
      </c>
      <c r="J46" s="5"/>
      <c r="K46" s="99"/>
      <c r="L46" s="99"/>
      <c r="M46" s="99"/>
      <c r="N46" s="160"/>
      <c r="O46" s="741"/>
      <c r="P46" s="5"/>
      <c r="Q46" s="5"/>
      <c r="R46" s="99"/>
      <c r="S46" s="5">
        <f>'JHS-21'!U31</f>
        <v>142468486.87921599</v>
      </c>
      <c r="T46" s="5"/>
      <c r="U46" s="5"/>
      <c r="V46" s="5"/>
      <c r="W46" s="99"/>
      <c r="X46" s="5"/>
      <c r="Y46" s="99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>
        <f t="shared" si="6"/>
        <v>200902070.79421562</v>
      </c>
      <c r="AM46" s="5">
        <f t="shared" si="7"/>
        <v>168465833.31321561</v>
      </c>
      <c r="AN46" s="160">
        <f t="shared" si="8"/>
        <v>-32436237.480999999</v>
      </c>
      <c r="AO46" s="5">
        <f t="shared" si="9"/>
        <v>200902070.79421562</v>
      </c>
      <c r="AP46" s="5">
        <f t="shared" si="10"/>
        <v>168465833.31321561</v>
      </c>
      <c r="AQ46" s="160"/>
      <c r="AR46" s="5">
        <f t="shared" si="11"/>
        <v>168465833.31321561</v>
      </c>
      <c r="AS46" s="55"/>
      <c r="AT46" s="1310"/>
      <c r="AU46" s="1068"/>
      <c r="AV46" s="1068"/>
      <c r="AW46" s="1068"/>
      <c r="AX46" s="1068"/>
      <c r="AY46" s="1068"/>
      <c r="AZ46" s="1068"/>
      <c r="BA46" s="1068"/>
      <c r="BB46" s="1068"/>
      <c r="BC46" s="1068"/>
      <c r="BD46" s="1068"/>
      <c r="BE46" s="1068"/>
      <c r="BF46" s="1068"/>
    </row>
    <row r="47" spans="1:58" s="1309" customFormat="1" ht="13.5">
      <c r="A47" s="8">
        <f t="shared" si="2"/>
        <v>32</v>
      </c>
      <c r="B47" s="9" t="s">
        <v>934</v>
      </c>
      <c r="C47" s="1316">
        <f t="shared" ref="C47:AB47" si="12">SUM(C30:C46)</f>
        <v>2157226079.9495025</v>
      </c>
      <c r="D47" s="1317">
        <f t="shared" si="12"/>
        <v>-244411700.80302691</v>
      </c>
      <c r="E47" s="1318">
        <f t="shared" si="12"/>
        <v>36681492.380249307</v>
      </c>
      <c r="F47" s="1316">
        <f t="shared" si="12"/>
        <v>726665.32416489208</v>
      </c>
      <c r="G47" s="1318">
        <f t="shared" si="12"/>
        <v>91579.854697500152</v>
      </c>
      <c r="H47" s="1316">
        <f t="shared" si="12"/>
        <v>-179072.65999999997</v>
      </c>
      <c r="I47" s="1316">
        <f t="shared" si="12"/>
        <v>-108519512.98499936</v>
      </c>
      <c r="J47" s="1316">
        <f>SUM(J30:J46)</f>
        <v>-1349514.236291667</v>
      </c>
      <c r="K47" s="1316">
        <f t="shared" si="12"/>
        <v>-30284100</v>
      </c>
      <c r="L47" s="1316">
        <f t="shared" si="12"/>
        <v>4607242.5894999942</v>
      </c>
      <c r="M47" s="1318">
        <f t="shared" si="12"/>
        <v>-4410066.3547771331</v>
      </c>
      <c r="N47" s="1318">
        <f t="shared" si="12"/>
        <v>-2269627.1111546955</v>
      </c>
      <c r="O47" s="1193">
        <f>SUM(O30:O46)</f>
        <v>2977384.1121079563</v>
      </c>
      <c r="P47" s="1316">
        <f t="shared" si="12"/>
        <v>7924997</v>
      </c>
      <c r="Q47" s="1316">
        <f t="shared" si="12"/>
        <v>-6790156.660110781</v>
      </c>
      <c r="R47" s="1316">
        <f t="shared" si="12"/>
        <v>-110960640.52851571</v>
      </c>
      <c r="S47" s="1316">
        <f t="shared" si="12"/>
        <v>60471550.681000993</v>
      </c>
      <c r="T47" s="1318">
        <f t="shared" si="12"/>
        <v>-52657745.43294999</v>
      </c>
      <c r="U47" s="1316">
        <f t="shared" si="12"/>
        <v>4308880.5580122033</v>
      </c>
      <c r="V47" s="1316">
        <f t="shared" si="12"/>
        <v>-688452.72599345422</v>
      </c>
      <c r="W47" s="1316">
        <f t="shared" si="12"/>
        <v>725617.91982013779</v>
      </c>
      <c r="X47" s="1316">
        <f t="shared" si="12"/>
        <v>-1638181</v>
      </c>
      <c r="Y47" s="1316">
        <f t="shared" si="12"/>
        <v>-482219.63650440378</v>
      </c>
      <c r="Z47" s="1318">
        <f t="shared" si="12"/>
        <v>3036132.0799999982</v>
      </c>
      <c r="AA47" s="1316">
        <f t="shared" si="12"/>
        <v>200979.42278499901</v>
      </c>
      <c r="AB47" s="1316">
        <f t="shared" si="12"/>
        <v>-33583.776494048085</v>
      </c>
      <c r="AC47" s="1316">
        <f t="shared" ref="AC47:AJ47" si="13">SUM(AC30:AC46)</f>
        <v>47149</v>
      </c>
      <c r="AD47" s="1316">
        <f t="shared" si="13"/>
        <v>-44411.25</v>
      </c>
      <c r="AE47" s="1316">
        <f t="shared" si="13"/>
        <v>1028316.1308333338</v>
      </c>
      <c r="AF47" s="1316">
        <f t="shared" si="13"/>
        <v>124477.49122349142</v>
      </c>
      <c r="AG47" s="1316">
        <f t="shared" si="13"/>
        <v>1199983.8866266394</v>
      </c>
      <c r="AH47" s="1316">
        <f t="shared" si="13"/>
        <v>1512829.5</v>
      </c>
      <c r="AI47" s="1316">
        <f t="shared" si="13"/>
        <v>83623.673185823485</v>
      </c>
      <c r="AJ47" s="1316">
        <f t="shared" si="13"/>
        <v>11276</v>
      </c>
      <c r="AK47" s="1316">
        <f>SUM(AK30:AK46)</f>
        <v>0</v>
      </c>
      <c r="AL47" s="1318">
        <f t="shared" si="6"/>
        <v>-438958807.55661082</v>
      </c>
      <c r="AM47" s="1318">
        <f t="shared" ref="AM47:AR47" si="14">SUM(AM30:AM46)</f>
        <v>1718267272.3928919</v>
      </c>
      <c r="AN47" s="1316">
        <f t="shared" si="14"/>
        <v>2157226079.9495025</v>
      </c>
      <c r="AO47" s="1318">
        <f t="shared" si="14"/>
        <v>-438958807.55661076</v>
      </c>
      <c r="AP47" s="1318">
        <f t="shared" si="14"/>
        <v>1718267272.3928919</v>
      </c>
      <c r="AQ47" s="1318">
        <f t="shared" si="14"/>
        <v>24013934.012619</v>
      </c>
      <c r="AR47" s="1318">
        <f t="shared" si="14"/>
        <v>1742281206.4055109</v>
      </c>
      <c r="AS47" s="134"/>
      <c r="AT47" s="1310"/>
      <c r="AU47" s="1068"/>
      <c r="AV47" s="1068"/>
      <c r="AW47" s="1068"/>
      <c r="AX47" s="1068"/>
      <c r="AY47" s="1068"/>
      <c r="AZ47" s="1068"/>
      <c r="BA47" s="1068"/>
      <c r="BB47" s="1068"/>
      <c r="BC47" s="1068"/>
      <c r="BD47" s="1068"/>
      <c r="BE47" s="1068"/>
      <c r="BF47" s="1068"/>
    </row>
    <row r="48" spans="1:58" s="1309" customFormat="1">
      <c r="A48" s="8">
        <f t="shared" si="2"/>
        <v>33</v>
      </c>
      <c r="B48" s="1242"/>
      <c r="C48" s="129"/>
      <c r="D48" s="129" t="s">
        <v>939</v>
      </c>
      <c r="E48" s="129"/>
      <c r="F48" s="129"/>
      <c r="G48" s="129" t="s">
        <v>939</v>
      </c>
      <c r="H48" s="129"/>
      <c r="I48" s="129"/>
      <c r="J48" s="129" t="s">
        <v>939</v>
      </c>
      <c r="K48" s="129"/>
      <c r="L48" s="129"/>
      <c r="M48" s="129"/>
      <c r="N48" s="160" t="s">
        <v>939</v>
      </c>
      <c r="O48" s="740"/>
      <c r="P48" s="129" t="s">
        <v>939</v>
      </c>
      <c r="Q48" s="129" t="s">
        <v>939</v>
      </c>
      <c r="R48" s="129"/>
      <c r="S48" s="129" t="s">
        <v>939</v>
      </c>
      <c r="T48" s="129" t="s">
        <v>939</v>
      </c>
      <c r="U48" s="129" t="s">
        <v>939</v>
      </c>
      <c r="V48" s="129"/>
      <c r="W48" s="129"/>
      <c r="X48" s="129" t="s">
        <v>939</v>
      </c>
      <c r="Y48" s="129"/>
      <c r="Z48" s="129" t="s">
        <v>939</v>
      </c>
      <c r="AA48" s="129" t="s">
        <v>939</v>
      </c>
      <c r="AB48" s="129" t="s">
        <v>939</v>
      </c>
      <c r="AC48" s="129" t="s">
        <v>939</v>
      </c>
      <c r="AD48" s="129" t="s">
        <v>939</v>
      </c>
      <c r="AE48" s="129" t="s">
        <v>939</v>
      </c>
      <c r="AF48" s="129"/>
      <c r="AG48" s="129"/>
      <c r="AH48" s="129" t="s">
        <v>939</v>
      </c>
      <c r="AI48" s="129" t="s">
        <v>939</v>
      </c>
      <c r="AJ48" s="129" t="s">
        <v>939</v>
      </c>
      <c r="AK48" s="129" t="s">
        <v>939</v>
      </c>
      <c r="AL48" s="129"/>
      <c r="AM48" s="129"/>
      <c r="AN48" s="160"/>
      <c r="AO48" s="129"/>
      <c r="AP48" s="129"/>
      <c r="AQ48" s="160"/>
      <c r="AR48" s="129"/>
      <c r="AS48" s="129"/>
      <c r="AT48" s="1310"/>
      <c r="AU48" s="1068"/>
      <c r="AV48" s="1068"/>
      <c r="AW48" s="1068"/>
      <c r="AX48" s="1068"/>
      <c r="AY48" s="1068"/>
      <c r="AZ48" s="1068"/>
      <c r="BA48" s="1068"/>
      <c r="BB48" s="1068"/>
      <c r="BC48" s="1068"/>
      <c r="BD48" s="1068"/>
      <c r="BE48" s="1068"/>
      <c r="BF48" s="1068"/>
    </row>
    <row r="49" spans="1:58" s="1309" customFormat="1" ht="13.5">
      <c r="A49" s="8">
        <f t="shared" si="2"/>
        <v>34</v>
      </c>
      <c r="B49" s="9" t="s">
        <v>935</v>
      </c>
      <c r="C49" s="57">
        <f t="shared" ref="C49:AB49" si="15">C21-C47</f>
        <v>117427311.31048775</v>
      </c>
      <c r="D49" s="1121">
        <f t="shared" si="15"/>
        <v>123082268.48713157</v>
      </c>
      <c r="E49" s="1121">
        <f t="shared" si="15"/>
        <v>-36681492.380249307</v>
      </c>
      <c r="F49" s="57">
        <f t="shared" si="15"/>
        <v>-726665.32416489208</v>
      </c>
      <c r="G49" s="1121">
        <f t="shared" si="15"/>
        <v>-91579.854697500152</v>
      </c>
      <c r="H49" s="57">
        <f t="shared" si="15"/>
        <v>179072.65999999997</v>
      </c>
      <c r="I49" s="57">
        <f t="shared" si="15"/>
        <v>108519512.98499936</v>
      </c>
      <c r="J49" s="57">
        <f t="shared" si="15"/>
        <v>1349514.236291667</v>
      </c>
      <c r="K49" s="57">
        <f t="shared" si="15"/>
        <v>30284100</v>
      </c>
      <c r="L49" s="57">
        <f t="shared" si="15"/>
        <v>-4607242.5894999942</v>
      </c>
      <c r="M49" s="1121">
        <f t="shared" si="15"/>
        <v>4410066.3547771331</v>
      </c>
      <c r="N49" s="1121">
        <f>N21-N47</f>
        <v>2269627.1111546955</v>
      </c>
      <c r="O49" s="1193">
        <f>O21-O47</f>
        <v>-2977384.1121079563</v>
      </c>
      <c r="P49" s="57">
        <f t="shared" si="15"/>
        <v>12971429.041821491</v>
      </c>
      <c r="Q49" s="57">
        <f t="shared" si="15"/>
        <v>1352072.5724973306</v>
      </c>
      <c r="R49" s="57">
        <f t="shared" si="15"/>
        <v>-306445.01612366736</v>
      </c>
      <c r="S49" s="57">
        <f t="shared" si="15"/>
        <v>-60471550.681000993</v>
      </c>
      <c r="T49" s="1121">
        <f t="shared" si="15"/>
        <v>52657745.43294999</v>
      </c>
      <c r="U49" s="57">
        <f t="shared" si="15"/>
        <v>-4308880.5580122033</v>
      </c>
      <c r="V49" s="57">
        <f t="shared" si="15"/>
        <v>688452.72599345422</v>
      </c>
      <c r="W49" s="57">
        <f t="shared" si="15"/>
        <v>-725617.91982013779</v>
      </c>
      <c r="X49" s="57">
        <f t="shared" si="15"/>
        <v>1638181</v>
      </c>
      <c r="Y49" s="57">
        <f t="shared" si="15"/>
        <v>482219.63650440378</v>
      </c>
      <c r="Z49" s="1121">
        <f t="shared" si="15"/>
        <v>-3036132.0799999982</v>
      </c>
      <c r="AA49" s="57">
        <f t="shared" si="15"/>
        <v>-200979.42278499901</v>
      </c>
      <c r="AB49" s="57">
        <f t="shared" si="15"/>
        <v>33583.776494048085</v>
      </c>
      <c r="AC49" s="57">
        <f t="shared" ref="AC49:AJ49" si="16">AC21-AC47</f>
        <v>-47149</v>
      </c>
      <c r="AD49" s="57">
        <f t="shared" si="16"/>
        <v>44411.25</v>
      </c>
      <c r="AE49" s="57">
        <f t="shared" si="16"/>
        <v>-1028316.1308333338</v>
      </c>
      <c r="AF49" s="57">
        <f t="shared" si="16"/>
        <v>-124477.49122349142</v>
      </c>
      <c r="AG49" s="57">
        <f t="shared" si="16"/>
        <v>-1199983.8866266394</v>
      </c>
      <c r="AH49" s="57">
        <f t="shared" si="16"/>
        <v>-1512829.5</v>
      </c>
      <c r="AI49" s="57">
        <f t="shared" si="16"/>
        <v>-83623.673185823485</v>
      </c>
      <c r="AJ49" s="57">
        <f t="shared" si="16"/>
        <v>-11276</v>
      </c>
      <c r="AK49" s="57">
        <f>AK21-AK47</f>
        <v>0</v>
      </c>
      <c r="AL49" s="1121">
        <f t="shared" ref="AL49:AR49" si="17">AL21-AL47</f>
        <v>221820631.65028414</v>
      </c>
      <c r="AM49" s="1121">
        <f t="shared" si="17"/>
        <v>339247942.96077156</v>
      </c>
      <c r="AN49" s="57">
        <f t="shared" si="17"/>
        <v>117427311.31048775</v>
      </c>
      <c r="AO49" s="1121">
        <f t="shared" si="17"/>
        <v>221820631.65028405</v>
      </c>
      <c r="AP49" s="1121">
        <f t="shared" si="17"/>
        <v>339247942.96077156</v>
      </c>
      <c r="AQ49" s="1121">
        <f t="shared" si="17"/>
        <v>39305434.987380996</v>
      </c>
      <c r="AR49" s="1121">
        <f t="shared" si="17"/>
        <v>378553377.94815254</v>
      </c>
      <c r="AS49" s="57"/>
      <c r="AT49" s="1310"/>
      <c r="AU49" s="1068"/>
      <c r="AV49" s="1068"/>
      <c r="AW49" s="1068"/>
      <c r="AX49" s="1068"/>
      <c r="AY49" s="1068"/>
      <c r="AZ49" s="1068"/>
      <c r="BA49" s="1068"/>
      <c r="BB49" s="1068"/>
      <c r="BC49" s="1068"/>
      <c r="BD49" s="1068"/>
      <c r="BE49" s="1068"/>
      <c r="BF49" s="1068"/>
    </row>
    <row r="50" spans="1:58" s="1309" customFormat="1">
      <c r="A50" s="8">
        <f t="shared" si="2"/>
        <v>35</v>
      </c>
      <c r="B50" s="124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74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 t="s">
        <v>939</v>
      </c>
      <c r="AQ50" s="26"/>
      <c r="AR50" s="26" t="s">
        <v>939</v>
      </c>
      <c r="AS50" s="26"/>
      <c r="AT50" s="1310"/>
      <c r="AU50" s="1068"/>
      <c r="AV50" s="1068"/>
      <c r="AW50" s="1068"/>
      <c r="AX50" s="1068"/>
      <c r="AY50" s="1068"/>
      <c r="AZ50" s="1068"/>
      <c r="BA50" s="1068"/>
      <c r="BB50" s="1068"/>
      <c r="BC50" s="1068"/>
      <c r="BD50" s="1068"/>
      <c r="BE50" s="1068"/>
      <c r="BF50" s="1068"/>
    </row>
    <row r="51" spans="1:58" s="1309" customFormat="1" ht="13.5">
      <c r="A51" s="8">
        <f t="shared" si="2"/>
        <v>36</v>
      </c>
      <c r="B51" s="9" t="s">
        <v>936</v>
      </c>
      <c r="C51" s="57">
        <f>C62</f>
        <v>4100870912.6820273</v>
      </c>
      <c r="D51" s="57">
        <v>0</v>
      </c>
      <c r="E51" s="57">
        <f>'JHS-20'!J19</f>
        <v>669984170.72349858</v>
      </c>
      <c r="F51" s="57">
        <f>'JHS-20'!O24</f>
        <v>110846093.21705429</v>
      </c>
      <c r="G51" s="57">
        <v>0</v>
      </c>
      <c r="H51" s="57">
        <f>'JHS-20'!Y18</f>
        <v>-3370636</v>
      </c>
      <c r="I51" s="57">
        <v>0</v>
      </c>
      <c r="J51" s="57">
        <v>0</v>
      </c>
      <c r="K51" s="57">
        <f>'JHS-20'!AO17</f>
        <v>-56496129.25</v>
      </c>
      <c r="L51" s="57">
        <f>'JHS-20'!AT18+'JHS-20'!AT21</f>
        <v>135630302.1673249</v>
      </c>
      <c r="M51" s="1121">
        <f>'JHS-20'!AY34</f>
        <v>-21539982.061803341</v>
      </c>
      <c r="N51" s="1121">
        <f>'JHS-20'!BC105+'JHS-20'!BC86</f>
        <v>-49973478</v>
      </c>
      <c r="O51" s="1193">
        <f>'JHS-20'!BI28</f>
        <v>10324092.422502052</v>
      </c>
      <c r="P51" s="57">
        <v>0</v>
      </c>
      <c r="Q51" s="57">
        <v>0</v>
      </c>
      <c r="R51" s="57">
        <v>0</v>
      </c>
      <c r="S51" s="57">
        <f>S62</f>
        <v>-41414322</v>
      </c>
      <c r="T51" s="57">
        <v>0</v>
      </c>
      <c r="U51" s="57">
        <v>0</v>
      </c>
      <c r="V51" s="57">
        <f>'JHS-21'!AI16</f>
        <v>-233768.72008898749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f>'JHS-21'!BT20</f>
        <v>0</v>
      </c>
      <c r="AC51" s="57">
        <f>'JHS-21'!BU20</f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f>AK62</f>
        <v>-1378827.912193805</v>
      </c>
      <c r="AL51" s="1121">
        <f>SUM(D51:AK51)</f>
        <v>752377514.5862937</v>
      </c>
      <c r="AM51" s="1121">
        <f>ROUND(AL51+C51,0)</f>
        <v>4853248427</v>
      </c>
      <c r="AN51" s="57">
        <f>C51</f>
        <v>4100870912.6820273</v>
      </c>
      <c r="AO51" s="1121">
        <f>AL51</f>
        <v>752377514.5862937</v>
      </c>
      <c r="AP51" s="1121">
        <f>AM51</f>
        <v>4853248427</v>
      </c>
      <c r="AQ51" s="57">
        <v>0</v>
      </c>
      <c r="AR51" s="1121">
        <f>SUM(AP51:AQ51)</f>
        <v>4853248427</v>
      </c>
      <c r="AS51" s="129"/>
      <c r="AT51" s="1310"/>
      <c r="AU51" s="1068"/>
      <c r="AV51" s="1068"/>
      <c r="AW51" s="1068"/>
      <c r="AX51" s="1068"/>
      <c r="AY51" s="1068"/>
      <c r="AZ51" s="1068"/>
      <c r="BA51" s="1068"/>
      <c r="BB51" s="1068"/>
      <c r="BC51" s="1068"/>
      <c r="BD51" s="1068"/>
      <c r="BE51" s="1068"/>
      <c r="BF51" s="1068"/>
    </row>
    <row r="52" spans="1:58" s="1309" customFormat="1">
      <c r="A52" s="8">
        <f t="shared" si="2"/>
        <v>37</v>
      </c>
      <c r="B52" s="1242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740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1242"/>
      <c r="AT52" s="1310"/>
      <c r="AU52" s="1068"/>
      <c r="AV52" s="1068"/>
      <c r="AW52" s="1068"/>
      <c r="AX52" s="1068"/>
      <c r="AY52" s="1068"/>
      <c r="AZ52" s="1068"/>
      <c r="BA52" s="1068"/>
      <c r="BB52" s="1068"/>
      <c r="BC52" s="1068"/>
      <c r="BD52" s="1068"/>
      <c r="BE52" s="1068"/>
      <c r="BF52" s="1068"/>
    </row>
    <row r="53" spans="1:58" s="1309" customFormat="1" ht="13.5">
      <c r="A53" s="8">
        <f t="shared" si="2"/>
        <v>38</v>
      </c>
      <c r="B53" s="9" t="s">
        <v>937</v>
      </c>
      <c r="C53" s="699">
        <f>C49/C51</f>
        <v>2.8634725113473185E-2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740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1191">
        <f>AM49/AM51</f>
        <v>6.9901211129732993E-2</v>
      </c>
      <c r="AN53" s="729">
        <f>AN49/AN51</f>
        <v>2.8634725113473185E-2</v>
      </c>
      <c r="AO53" s="55"/>
      <c r="AP53" s="1191">
        <f>AP49/AP51</f>
        <v>6.9901211129732993E-2</v>
      </c>
      <c r="AQ53" s="55"/>
      <c r="AR53" s="1191">
        <f>AR49/AR51</f>
        <v>7.8000000132313965E-2</v>
      </c>
      <c r="AS53" s="156"/>
      <c r="AT53" s="1310"/>
      <c r="AU53" s="1068"/>
      <c r="AV53" s="1068"/>
      <c r="AW53" s="1068"/>
      <c r="AX53" s="1068"/>
      <c r="AY53" s="1068"/>
      <c r="AZ53" s="1068"/>
      <c r="BA53" s="1068"/>
      <c r="BB53" s="1068"/>
      <c r="BC53" s="1068"/>
      <c r="BD53" s="1068"/>
      <c r="BE53" s="1068"/>
      <c r="BF53" s="1068"/>
    </row>
    <row r="54" spans="1:58" s="1309" customFormat="1">
      <c r="A54" s="8">
        <f t="shared" si="2"/>
        <v>39</v>
      </c>
      <c r="B54" s="1242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740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 t="s">
        <v>939</v>
      </c>
      <c r="AR54" s="57"/>
      <c r="AS54" s="1242"/>
      <c r="AT54" s="1310"/>
      <c r="AU54" s="1068"/>
      <c r="AV54" s="1068"/>
      <c r="AW54" s="1068"/>
      <c r="AX54" s="1068"/>
      <c r="AY54" s="1068"/>
      <c r="AZ54" s="1068"/>
      <c r="BA54" s="1068"/>
      <c r="BB54" s="1068"/>
      <c r="BC54" s="1068"/>
      <c r="BD54" s="1068"/>
      <c r="BE54" s="1068"/>
      <c r="BF54" s="1068"/>
    </row>
    <row r="55" spans="1:58" s="1309" customFormat="1">
      <c r="A55" s="8">
        <f t="shared" si="2"/>
        <v>40</v>
      </c>
      <c r="B55" s="1242" t="s">
        <v>873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740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 t="s">
        <v>939</v>
      </c>
      <c r="AR55" s="57"/>
      <c r="AS55" s="1242"/>
      <c r="AT55" s="1310"/>
      <c r="AU55" s="1068"/>
      <c r="AV55" s="1068"/>
      <c r="AW55" s="1068"/>
      <c r="AX55" s="1068"/>
      <c r="AY55" s="1068"/>
      <c r="AZ55" s="1068"/>
      <c r="BA55" s="1068"/>
      <c r="BB55" s="1068"/>
      <c r="BC55" s="1068"/>
      <c r="BD55" s="1068"/>
      <c r="BE55" s="1068"/>
      <c r="BF55" s="1068"/>
    </row>
    <row r="56" spans="1:58" s="1309" customFormat="1">
      <c r="A56" s="8">
        <f t="shared" si="2"/>
        <v>41</v>
      </c>
      <c r="B56" s="103" t="s">
        <v>1236</v>
      </c>
      <c r="C56" s="57">
        <v>7157671290.748807</v>
      </c>
      <c r="D56" s="57">
        <v>0</v>
      </c>
      <c r="E56" s="57">
        <f>'JHS-20'!J15</f>
        <v>770734625.47952664</v>
      </c>
      <c r="F56" s="57">
        <v>0</v>
      </c>
      <c r="G56" s="57">
        <v>0</v>
      </c>
      <c r="H56" s="57">
        <f>'JHS-20'!Y15</f>
        <v>-4357020</v>
      </c>
      <c r="I56" s="57">
        <v>0</v>
      </c>
      <c r="J56" s="57">
        <v>0</v>
      </c>
      <c r="K56" s="57">
        <v>0</v>
      </c>
      <c r="L56" s="57">
        <v>0</v>
      </c>
      <c r="M56" s="57"/>
      <c r="N56" s="57">
        <f>N51-N59-N58-N57</f>
        <v>-75173479</v>
      </c>
      <c r="O56" s="740"/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f>U51-U57</f>
        <v>0</v>
      </c>
      <c r="V56" s="57">
        <f>'JHS-21'!AI14</f>
        <v>-359644.18475228845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f>+AE51</f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/>
      <c r="AL56" s="57">
        <f t="shared" ref="AL56:AL61" si="18">SUM(D56:AK56)</f>
        <v>690844482.29477429</v>
      </c>
      <c r="AM56" s="57">
        <f>ROUND(+AL56+C56,0)</f>
        <v>7848515773</v>
      </c>
      <c r="AN56" s="57">
        <f t="shared" ref="AN56:AN61" si="19">C56</f>
        <v>7157671290.748807</v>
      </c>
      <c r="AO56" s="57">
        <f t="shared" ref="AO56:AO61" si="20">+AL56</f>
        <v>690844482.29477429</v>
      </c>
      <c r="AP56" s="57">
        <f t="shared" ref="AP56:AP61" si="21">+AO56+AN56</f>
        <v>7848515773.043581</v>
      </c>
      <c r="AQ56" s="57"/>
      <c r="AR56" s="57"/>
      <c r="AS56" s="129"/>
      <c r="AT56" s="1310"/>
      <c r="AU56" s="1068"/>
      <c r="AV56" s="1068"/>
      <c r="AW56" s="1068"/>
      <c r="AX56" s="1068"/>
      <c r="AY56" s="1068"/>
      <c r="AZ56" s="1068"/>
      <c r="BA56" s="1068"/>
      <c r="BB56" s="1068"/>
      <c r="BC56" s="1068"/>
      <c r="BD56" s="1068"/>
      <c r="BE56" s="1068"/>
      <c r="BF56" s="1068"/>
    </row>
    <row r="57" spans="1:58" s="1309" customFormat="1">
      <c r="A57" s="8">
        <f t="shared" si="2"/>
        <v>42</v>
      </c>
      <c r="B57" s="103" t="s">
        <v>1237</v>
      </c>
      <c r="C57" s="724">
        <v>-2758182029.4807525</v>
      </c>
      <c r="D57" s="724"/>
      <c r="E57" s="724">
        <f>'JHS-20'!J16</f>
        <v>-21987450.310814984</v>
      </c>
      <c r="F57" s="724"/>
      <c r="G57" s="724"/>
      <c r="H57" s="724">
        <f>'JHS-20'!Y16</f>
        <v>462883</v>
      </c>
      <c r="I57" s="724"/>
      <c r="J57" s="724"/>
      <c r="K57" s="724"/>
      <c r="L57" s="724"/>
      <c r="M57" s="724"/>
      <c r="N57" s="724">
        <f>'JHS-20'!BC73+'JHS-20'!BC75</f>
        <v>25152312</v>
      </c>
      <c r="O57" s="740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>
        <f t="shared" si="18"/>
        <v>3627744.6891850159</v>
      </c>
      <c r="AM57" s="724">
        <f>ROUND(+AL57+C57,0)</f>
        <v>-2754554285</v>
      </c>
      <c r="AN57" s="724">
        <f t="shared" si="19"/>
        <v>-2758182029.4807525</v>
      </c>
      <c r="AO57" s="724">
        <f t="shared" si="20"/>
        <v>3627744.6891850159</v>
      </c>
      <c r="AP57" s="724">
        <f t="shared" si="21"/>
        <v>-2754554284.7915673</v>
      </c>
      <c r="AQ57" s="724"/>
      <c r="AR57" s="724"/>
      <c r="AS57" s="129"/>
      <c r="AT57" s="1310"/>
      <c r="AU57" s="1068"/>
      <c r="AV57" s="1068"/>
      <c r="AW57" s="1068"/>
      <c r="AX57" s="1068"/>
      <c r="AY57" s="1068"/>
      <c r="AZ57" s="1068"/>
      <c r="BA57" s="1068"/>
      <c r="BB57" s="1068"/>
      <c r="BC57" s="1068"/>
      <c r="BD57" s="1068"/>
      <c r="BE57" s="1068"/>
      <c r="BF57" s="1068"/>
    </row>
    <row r="58" spans="1:58" s="1309" customFormat="1" ht="13.5">
      <c r="A58" s="8">
        <f t="shared" si="2"/>
        <v>43</v>
      </c>
      <c r="B58" s="1242" t="s">
        <v>1088</v>
      </c>
      <c r="C58" s="724">
        <v>241208022.97458333</v>
      </c>
      <c r="D58" s="724"/>
      <c r="E58" s="724"/>
      <c r="F58" s="724">
        <f>'JHS-20'!O14+'JHS-20'!O19+'JHS-20'!O15+'JHS-20'!O20</f>
        <v>116822816.93421388</v>
      </c>
      <c r="G58" s="724"/>
      <c r="H58" s="724"/>
      <c r="I58" s="724"/>
      <c r="J58" s="724"/>
      <c r="K58" s="724">
        <f>'JHS-20'!AO14</f>
        <v>-59395254</v>
      </c>
      <c r="L58" s="724">
        <f>'JHS-20'!AT14+'JHS-20'!AT21+'JHS-20'!AT15</f>
        <v>153173246.20049992</v>
      </c>
      <c r="M58" s="1132">
        <f>M51</f>
        <v>-21539982.061803341</v>
      </c>
      <c r="N58" s="1132">
        <f>'JHS-20'!BC105+'JHS-20'!BC76+'JHS-20'!BC77</f>
        <v>-6675836</v>
      </c>
      <c r="O58" s="1193">
        <f>SUM('JHS-20'!BI25:BI26)</f>
        <v>15883219.111541618</v>
      </c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1132">
        <f t="shared" si="18"/>
        <v>198268210.18445209</v>
      </c>
      <c r="AM58" s="1132">
        <f>ROUND(+AL58+C58,0)</f>
        <v>439476233</v>
      </c>
      <c r="AN58" s="724">
        <f t="shared" si="19"/>
        <v>241208022.97458333</v>
      </c>
      <c r="AO58" s="1132">
        <f t="shared" si="20"/>
        <v>198268210.18445209</v>
      </c>
      <c r="AP58" s="1132">
        <f t="shared" si="21"/>
        <v>439476233.15903544</v>
      </c>
      <c r="AQ58" s="724"/>
      <c r="AR58" s="724"/>
      <c r="AS58" s="129"/>
      <c r="AT58" s="1310"/>
      <c r="AU58" s="1068"/>
      <c r="AV58" s="1068"/>
      <c r="AW58" s="1068"/>
      <c r="AX58" s="1068"/>
      <c r="AY58" s="1068"/>
      <c r="AZ58" s="1068"/>
      <c r="BA58" s="1068"/>
      <c r="BB58" s="1068"/>
      <c r="BC58" s="1068"/>
      <c r="BD58" s="1068"/>
      <c r="BE58" s="1068"/>
      <c r="BF58" s="1068"/>
    </row>
    <row r="59" spans="1:58" s="1309" customFormat="1" ht="13.5">
      <c r="A59" s="8">
        <f t="shared" si="2"/>
        <v>44</v>
      </c>
      <c r="B59" s="1242" t="s">
        <v>572</v>
      </c>
      <c r="C59" s="724">
        <v>-656658556.69686115</v>
      </c>
      <c r="D59" s="724"/>
      <c r="E59" s="724">
        <f>'JHS-20'!J17</f>
        <v>-78763004.445213079</v>
      </c>
      <c r="F59" s="724">
        <f>'JHS-20'!O21</f>
        <v>-5976723.7171595944</v>
      </c>
      <c r="G59" s="724"/>
      <c r="H59" s="724">
        <f>'JHS-20'!Y17</f>
        <v>523501</v>
      </c>
      <c r="I59" s="724"/>
      <c r="J59" s="724"/>
      <c r="K59" s="724">
        <f>'JHS-20'!AO15</f>
        <v>2899124.75</v>
      </c>
      <c r="L59" s="724">
        <f>'JHS-20'!AT16</f>
        <v>-17542944.033175014</v>
      </c>
      <c r="M59" s="724">
        <v>0</v>
      </c>
      <c r="N59" s="724">
        <f>'JHS-20'!BC84</f>
        <v>6723525</v>
      </c>
      <c r="O59" s="1193">
        <f>'JHS-20'!BI27</f>
        <v>-5559126.6890395666</v>
      </c>
      <c r="P59" s="724"/>
      <c r="Q59" s="724"/>
      <c r="R59" s="724"/>
      <c r="S59" s="724">
        <f>'JHS-21'!U35</f>
        <v>-41414322</v>
      </c>
      <c r="T59" s="724"/>
      <c r="U59" s="724"/>
      <c r="V59" s="724">
        <f>'JHS-21'!AI15</f>
        <v>125875.46466330095</v>
      </c>
      <c r="W59" s="724"/>
      <c r="X59" s="724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1132">
        <f t="shared" si="18"/>
        <v>-138984094.66992399</v>
      </c>
      <c r="AM59" s="1132">
        <f>ROUND(+AL59+C59,0)</f>
        <v>-795642651</v>
      </c>
      <c r="AN59" s="724">
        <f t="shared" si="19"/>
        <v>-656658556.69686115</v>
      </c>
      <c r="AO59" s="1132">
        <f t="shared" si="20"/>
        <v>-138984094.66992399</v>
      </c>
      <c r="AP59" s="1132">
        <f t="shared" si="21"/>
        <v>-795642651.36678517</v>
      </c>
      <c r="AQ59" s="724"/>
      <c r="AR59" s="724"/>
      <c r="AS59" s="129"/>
      <c r="AT59" s="1310"/>
      <c r="AU59" s="1068"/>
      <c r="AV59" s="1068"/>
      <c r="AW59" s="1068"/>
      <c r="AX59" s="1068"/>
      <c r="AY59" s="1068"/>
      <c r="AZ59" s="1068"/>
      <c r="BA59" s="1068"/>
      <c r="BB59" s="1068"/>
      <c r="BC59" s="1068"/>
      <c r="BD59" s="1068"/>
      <c r="BE59" s="1068"/>
      <c r="BF59" s="1068"/>
    </row>
    <row r="60" spans="1:58" s="1309" customFormat="1">
      <c r="A60" s="8">
        <f>A59+1</f>
        <v>45</v>
      </c>
      <c r="B60" s="1242" t="s">
        <v>574</v>
      </c>
      <c r="C60" s="724">
        <v>204952589</v>
      </c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40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724"/>
      <c r="AA60" s="724"/>
      <c r="AB60" s="724">
        <f>'JHS-21'!BT20</f>
        <v>0</v>
      </c>
      <c r="AC60" s="724">
        <f>'JHS-21'!BU20</f>
        <v>0</v>
      </c>
      <c r="AD60" s="724"/>
      <c r="AE60" s="724"/>
      <c r="AF60" s="724"/>
      <c r="AG60" s="724"/>
      <c r="AH60" s="724"/>
      <c r="AI60" s="724"/>
      <c r="AJ60" s="724"/>
      <c r="AK60" s="724">
        <f>'JHS-21'!DG14</f>
        <v>-1378827.912193805</v>
      </c>
      <c r="AL60" s="724">
        <f t="shared" si="18"/>
        <v>-1378827.912193805</v>
      </c>
      <c r="AM60" s="724">
        <f>ROUND(+AL60+C60,0)</f>
        <v>203573761</v>
      </c>
      <c r="AN60" s="724">
        <f t="shared" si="19"/>
        <v>204952589</v>
      </c>
      <c r="AO60" s="724">
        <f t="shared" si="20"/>
        <v>-1378827.912193805</v>
      </c>
      <c r="AP60" s="724">
        <f t="shared" si="21"/>
        <v>203573761.0878062</v>
      </c>
      <c r="AQ60" s="724"/>
      <c r="AR60" s="724"/>
      <c r="AS60" s="129"/>
      <c r="AT60" s="1310"/>
      <c r="AU60" s="1068"/>
      <c r="AV60" s="1068"/>
      <c r="AW60" s="1068"/>
      <c r="AX60" s="1068"/>
      <c r="AY60" s="1068"/>
      <c r="AZ60" s="1068"/>
      <c r="BA60" s="1068"/>
      <c r="BB60" s="1068"/>
      <c r="BC60" s="1068"/>
      <c r="BD60" s="1068"/>
      <c r="BE60" s="1068"/>
      <c r="BF60" s="1068"/>
    </row>
    <row r="61" spans="1:58" s="1309" customFormat="1">
      <c r="A61" s="8">
        <f t="shared" si="2"/>
        <v>46</v>
      </c>
      <c r="B61" s="1242" t="s">
        <v>573</v>
      </c>
      <c r="C61" s="724">
        <v>-88120403.863749996</v>
      </c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40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>
        <f t="shared" si="18"/>
        <v>0</v>
      </c>
      <c r="AM61" s="724">
        <f>ROUND(+AL61+C61,0)+1</f>
        <v>-88120403</v>
      </c>
      <c r="AN61" s="724">
        <f t="shared" si="19"/>
        <v>-88120403.863749996</v>
      </c>
      <c r="AO61" s="724">
        <f t="shared" si="20"/>
        <v>0</v>
      </c>
      <c r="AP61" s="724">
        <f t="shared" si="21"/>
        <v>-88120403.863749996</v>
      </c>
      <c r="AQ61" s="724"/>
      <c r="AR61" s="724"/>
      <c r="AS61" s="129"/>
      <c r="AT61" s="1310"/>
      <c r="AU61" s="1068"/>
      <c r="AV61" s="1068"/>
      <c r="AW61" s="1068"/>
      <c r="AX61" s="1068"/>
      <c r="AY61" s="1068"/>
      <c r="AZ61" s="1068"/>
      <c r="BA61" s="1068"/>
      <c r="BB61" s="1068"/>
      <c r="BC61" s="1068"/>
      <c r="BD61" s="1068"/>
      <c r="BE61" s="1068"/>
      <c r="BF61" s="1068"/>
    </row>
    <row r="62" spans="1:58" s="1309" customFormat="1" ht="14.25" thickBot="1">
      <c r="A62" s="8">
        <f t="shared" si="2"/>
        <v>47</v>
      </c>
      <c r="B62" s="1242" t="s">
        <v>1231</v>
      </c>
      <c r="C62" s="1319">
        <f t="shared" ref="C62:R62" si="22">SUM(C56:C61)</f>
        <v>4100870912.6820273</v>
      </c>
      <c r="D62" s="1319">
        <f t="shared" si="22"/>
        <v>0</v>
      </c>
      <c r="E62" s="1319">
        <f t="shared" si="22"/>
        <v>669984170.72349858</v>
      </c>
      <c r="F62" s="1319">
        <f t="shared" si="22"/>
        <v>110846093.21705428</v>
      </c>
      <c r="G62" s="1319">
        <f t="shared" si="22"/>
        <v>0</v>
      </c>
      <c r="H62" s="1319">
        <f t="shared" si="22"/>
        <v>-3370636</v>
      </c>
      <c r="I62" s="1319">
        <f t="shared" si="22"/>
        <v>0</v>
      </c>
      <c r="J62" s="1319">
        <f t="shared" si="22"/>
        <v>0</v>
      </c>
      <c r="K62" s="1319">
        <f t="shared" si="22"/>
        <v>-56496129.25</v>
      </c>
      <c r="L62" s="1319">
        <f t="shared" si="22"/>
        <v>135630302.1673249</v>
      </c>
      <c r="M62" s="1320">
        <f t="shared" si="22"/>
        <v>-21539982.061803341</v>
      </c>
      <c r="N62" s="1320">
        <f t="shared" si="22"/>
        <v>-49973478</v>
      </c>
      <c r="O62" s="1321">
        <f>SUM(O56:O61)</f>
        <v>10324092.422502052</v>
      </c>
      <c r="P62" s="1319">
        <f t="shared" si="22"/>
        <v>0</v>
      </c>
      <c r="Q62" s="1319">
        <f t="shared" si="22"/>
        <v>0</v>
      </c>
      <c r="R62" s="1319">
        <f t="shared" si="22"/>
        <v>0</v>
      </c>
      <c r="S62" s="1319">
        <f t="shared" ref="S62:AB62" si="23">SUM(S56:S61)</f>
        <v>-41414322</v>
      </c>
      <c r="T62" s="1319">
        <f t="shared" si="23"/>
        <v>0</v>
      </c>
      <c r="U62" s="1319">
        <f t="shared" si="23"/>
        <v>0</v>
      </c>
      <c r="V62" s="1319">
        <f t="shared" si="23"/>
        <v>-233768.72008898749</v>
      </c>
      <c r="W62" s="1319">
        <f t="shared" si="23"/>
        <v>0</v>
      </c>
      <c r="X62" s="1319">
        <f t="shared" si="23"/>
        <v>0</v>
      </c>
      <c r="Y62" s="1319">
        <f t="shared" si="23"/>
        <v>0</v>
      </c>
      <c r="Z62" s="1319">
        <f t="shared" si="23"/>
        <v>0</v>
      </c>
      <c r="AA62" s="1319">
        <f t="shared" si="23"/>
        <v>0</v>
      </c>
      <c r="AB62" s="1319">
        <f t="shared" si="23"/>
        <v>0</v>
      </c>
      <c r="AC62" s="1319">
        <f t="shared" ref="AC62:AK62" si="24">SUM(AC56:AC61)</f>
        <v>0</v>
      </c>
      <c r="AD62" s="1319">
        <f t="shared" si="24"/>
        <v>0</v>
      </c>
      <c r="AE62" s="1319">
        <f t="shared" si="24"/>
        <v>0</v>
      </c>
      <c r="AF62" s="1319">
        <f t="shared" si="24"/>
        <v>0</v>
      </c>
      <c r="AG62" s="1319">
        <f t="shared" si="24"/>
        <v>0</v>
      </c>
      <c r="AH62" s="1319">
        <f t="shared" si="24"/>
        <v>0</v>
      </c>
      <c r="AI62" s="1319">
        <f t="shared" si="24"/>
        <v>0</v>
      </c>
      <c r="AJ62" s="1319">
        <f t="shared" si="24"/>
        <v>0</v>
      </c>
      <c r="AK62" s="1319">
        <f t="shared" si="24"/>
        <v>-1378827.912193805</v>
      </c>
      <c r="AL62" s="1320">
        <f>SUM(AL56:AL61)</f>
        <v>752377514.58629358</v>
      </c>
      <c r="AM62" s="1320">
        <f>ROUND(SUM(AM56:AM61),0)</f>
        <v>4853248428</v>
      </c>
      <c r="AN62" s="1319">
        <f>SUM(AN56:AN61)</f>
        <v>4100870912.6820273</v>
      </c>
      <c r="AO62" s="1320">
        <f>SUM(AO56:AO61)</f>
        <v>752377514.58629358</v>
      </c>
      <c r="AP62" s="1320">
        <f>SUM(AP56:AP61)</f>
        <v>4853248427.2683201</v>
      </c>
      <c r="AQ62" s="6"/>
      <c r="AR62" s="6"/>
      <c r="AS62" s="129"/>
      <c r="AT62" s="1310"/>
      <c r="AU62" s="1068"/>
      <c r="AV62" s="1068"/>
      <c r="AW62" s="1068"/>
      <c r="AX62" s="1068"/>
      <c r="AY62" s="1068"/>
      <c r="AZ62" s="1068"/>
      <c r="BA62" s="1068"/>
      <c r="BB62" s="1068"/>
      <c r="BC62" s="1068"/>
      <c r="BD62" s="1068"/>
      <c r="BE62" s="1068"/>
      <c r="BF62" s="1068"/>
    </row>
    <row r="63" spans="1:58" s="1309" customFormat="1" ht="13.5" thickTop="1">
      <c r="A63" s="269"/>
      <c r="B63" s="269"/>
      <c r="C63" s="1310"/>
      <c r="D63" s="1310"/>
      <c r="E63" s="1310"/>
      <c r="F63" s="1310"/>
      <c r="G63" s="1310"/>
      <c r="H63" s="1310"/>
      <c r="I63" s="1310"/>
      <c r="J63" s="1310"/>
      <c r="K63" s="1310"/>
      <c r="L63" s="1310"/>
      <c r="M63" s="1310"/>
      <c r="N63" s="1310"/>
      <c r="O63" s="1310"/>
      <c r="P63" s="1310"/>
      <c r="Q63" s="1310"/>
      <c r="R63" s="1310"/>
      <c r="S63" s="1310"/>
      <c r="T63" s="1310"/>
      <c r="U63" s="1310"/>
      <c r="V63" s="1310"/>
      <c r="W63" s="1310"/>
      <c r="X63" s="1310"/>
      <c r="Y63" s="1310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1310"/>
      <c r="AK63" s="1310"/>
      <c r="AL63" s="1310"/>
      <c r="AM63" s="1310"/>
      <c r="AN63" s="1310"/>
      <c r="AO63" s="1310"/>
      <c r="AP63" s="1310"/>
      <c r="AQ63" s="1242"/>
      <c r="AR63" s="36"/>
      <c r="AS63" s="36"/>
      <c r="AT63" s="1310"/>
      <c r="AU63" s="1068"/>
      <c r="AV63" s="1068"/>
      <c r="AW63" s="1068"/>
      <c r="AX63" s="1068"/>
      <c r="AY63" s="1068"/>
      <c r="AZ63" s="1068"/>
      <c r="BA63" s="1068"/>
      <c r="BB63" s="1068"/>
      <c r="BC63" s="1068"/>
      <c r="BD63" s="1068"/>
      <c r="BE63" s="1068"/>
      <c r="BF63" s="1068"/>
    </row>
    <row r="64" spans="1:58">
      <c r="AR64" s="7"/>
    </row>
    <row r="65" spans="44:44">
      <c r="AR65" s="7"/>
    </row>
    <row r="66" spans="44:44">
      <c r="AR66" s="7"/>
    </row>
    <row r="67" spans="44:44">
      <c r="AR67" s="7"/>
    </row>
    <row r="68" spans="44:44">
      <c r="AR68" s="7"/>
    </row>
    <row r="69" spans="44:44">
      <c r="AR69" s="7"/>
    </row>
    <row r="70" spans="44:44">
      <c r="AR70" s="7"/>
    </row>
    <row r="74" spans="44:44">
      <c r="AR74" s="7"/>
    </row>
    <row r="75" spans="44:44">
      <c r="AR75" s="7"/>
    </row>
    <row r="76" spans="44:44">
      <c r="AR76" s="7"/>
    </row>
    <row r="77" spans="44:44">
      <c r="AR77" s="7"/>
    </row>
    <row r="78" spans="44:44">
      <c r="AR78" s="7"/>
    </row>
    <row r="79" spans="44:44">
      <c r="AR79" s="7"/>
    </row>
    <row r="80" spans="44:44">
      <c r="AR80" s="7"/>
    </row>
    <row r="81" spans="40:44">
      <c r="AR81" s="7"/>
    </row>
    <row r="86" spans="40:44">
      <c r="AN86"/>
    </row>
  </sheetData>
  <phoneticPr fontId="13" type="noConversion"/>
  <conditionalFormatting sqref="A1:AT1">
    <cfRule type="cellIs" dxfId="8" priority="4" stopIfTrue="1" operator="notEqual">
      <formula>0</formula>
    </cfRule>
  </conditionalFormatting>
  <printOptions horizontalCentered="1"/>
  <pageMargins left="0.45" right="0.46" top="0.48" bottom="0.57999999999999996" header="0.24" footer="0.31"/>
  <pageSetup scale="17" orientation="landscape" r:id="rId1"/>
  <headerFooter alignWithMargins="0">
    <oddFooter>&amp;L&amp;"Times New Roman,Bold Italic"&amp;12Amounts presented in bold italic type have changed since PSE's Rebuttal Filing as revised February 16, 2012.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73"/>
  <sheetViews>
    <sheetView zoomScaleNormal="100" workbookViewId="0">
      <selection activeCell="F5" sqref="F5"/>
    </sheetView>
  </sheetViews>
  <sheetFormatPr defaultColWidth="10.6640625" defaultRowHeight="12.75"/>
  <cols>
    <col min="1" max="1" width="7.83203125" style="174" customWidth="1"/>
    <col min="2" max="2" width="41.33203125" style="174" customWidth="1"/>
    <col min="3" max="3" width="12.33203125" style="174" bestFit="1" customWidth="1"/>
    <col min="4" max="4" width="16" style="174" bestFit="1" customWidth="1"/>
    <col min="5" max="5" width="12.6640625" style="174" bestFit="1" customWidth="1"/>
    <col min="6" max="6" width="17" style="174" customWidth="1"/>
    <col min="7" max="7" width="16.1640625" style="174" customWidth="1"/>
    <col min="8" max="9" width="10.6640625" style="174"/>
    <col min="10" max="10" width="15" style="174" bestFit="1" customWidth="1"/>
    <col min="11" max="11" width="11" style="174" bestFit="1" customWidth="1"/>
    <col min="12" max="12" width="15.6640625" style="174" bestFit="1" customWidth="1"/>
    <col min="13" max="13" width="15" style="174" bestFit="1" customWidth="1"/>
    <col min="14" max="14" width="10.6640625" style="174"/>
    <col min="15" max="15" width="16.5" style="174" bestFit="1" customWidth="1"/>
    <col min="16" max="16384" width="10.6640625" style="174"/>
  </cols>
  <sheetData>
    <row r="1" spans="1:15" ht="15.75">
      <c r="A1" s="173"/>
      <c r="B1" s="1504" t="s">
        <v>1491</v>
      </c>
      <c r="C1" s="1505"/>
      <c r="D1" s="1505"/>
    </row>
    <row r="2" spans="1:15">
      <c r="A2" s="16"/>
    </row>
    <row r="3" spans="1:15">
      <c r="A3" s="336"/>
    </row>
    <row r="4" spans="1:15">
      <c r="A4" s="175" t="s">
        <v>840</v>
      </c>
      <c r="B4" s="175"/>
      <c r="C4" s="175"/>
      <c r="D4" s="175"/>
      <c r="E4" s="175"/>
      <c r="F4" s="175"/>
      <c r="G4" s="175"/>
    </row>
    <row r="5" spans="1:15">
      <c r="A5" s="175" t="s">
        <v>841</v>
      </c>
      <c r="B5" s="175"/>
      <c r="C5" s="175"/>
      <c r="D5" s="175"/>
      <c r="E5" s="175"/>
      <c r="F5" s="175"/>
      <c r="G5" s="175"/>
    </row>
    <row r="6" spans="1:15">
      <c r="A6" s="175" t="s">
        <v>962</v>
      </c>
      <c r="B6" s="175"/>
      <c r="C6" s="175"/>
      <c r="D6" s="175"/>
      <c r="E6" s="175"/>
      <c r="F6" s="175"/>
      <c r="G6" s="175"/>
    </row>
    <row r="7" spans="1:15">
      <c r="A7" s="175" t="s">
        <v>963</v>
      </c>
      <c r="B7" s="175"/>
      <c r="C7" s="175"/>
      <c r="D7" s="175"/>
      <c r="E7" s="175"/>
      <c r="F7" s="175"/>
      <c r="G7" s="175"/>
    </row>
    <row r="8" spans="1:15">
      <c r="A8" s="176"/>
      <c r="B8" s="176"/>
      <c r="C8" s="176"/>
      <c r="D8" s="176"/>
      <c r="E8" s="176"/>
      <c r="F8" s="176"/>
      <c r="G8" s="176"/>
    </row>
    <row r="9" spans="1:15">
      <c r="D9" s="1127" t="s">
        <v>503</v>
      </c>
      <c r="E9" s="1127"/>
      <c r="F9" s="1127" t="s">
        <v>503</v>
      </c>
      <c r="G9" s="1127" t="s">
        <v>503</v>
      </c>
    </row>
    <row r="10" spans="1:15">
      <c r="A10" s="176"/>
      <c r="B10" s="176"/>
      <c r="C10" s="176" t="s">
        <v>842</v>
      </c>
      <c r="D10" s="176" t="s">
        <v>843</v>
      </c>
      <c r="E10" s="176" t="s">
        <v>844</v>
      </c>
      <c r="F10" s="176" t="s">
        <v>844</v>
      </c>
      <c r="G10" s="176" t="s">
        <v>845</v>
      </c>
    </row>
    <row r="11" spans="1:15">
      <c r="A11" s="177" t="s">
        <v>846</v>
      </c>
      <c r="B11" s="177" t="s">
        <v>1285</v>
      </c>
      <c r="C11" s="177" t="s">
        <v>847</v>
      </c>
      <c r="D11" s="177" t="s">
        <v>848</v>
      </c>
      <c r="E11" s="177" t="s">
        <v>849</v>
      </c>
      <c r="F11" s="177" t="s">
        <v>848</v>
      </c>
      <c r="G11" s="177" t="s">
        <v>850</v>
      </c>
    </row>
    <row r="12" spans="1:15">
      <c r="A12" s="176"/>
      <c r="C12" s="178"/>
      <c r="D12" s="178"/>
      <c r="E12" s="178"/>
      <c r="F12" s="178"/>
      <c r="G12" s="178"/>
    </row>
    <row r="13" spans="1:15">
      <c r="A13" s="176">
        <v>1</v>
      </c>
      <c r="B13" s="174" t="s">
        <v>261</v>
      </c>
      <c r="C13" s="178"/>
      <c r="D13" s="307"/>
      <c r="E13" s="306"/>
      <c r="F13" s="1124">
        <f>'JHS-21'!CR14+'JHS-21'!BB14</f>
        <v>79703.050959696149</v>
      </c>
      <c r="G13" s="307"/>
      <c r="J13" s="428"/>
      <c r="K13" s="428"/>
      <c r="L13" s="428"/>
      <c r="M13" s="428"/>
      <c r="O13" s="535"/>
    </row>
    <row r="14" spans="1:15">
      <c r="A14" s="176">
        <f>A13+1</f>
        <v>2</v>
      </c>
      <c r="B14" s="174" t="s">
        <v>428</v>
      </c>
      <c r="C14" s="178"/>
      <c r="D14" s="307"/>
      <c r="E14" s="306"/>
      <c r="F14" s="1125">
        <f>'JHS-21'!CR15+'JHS-21'!BB15+'JHS-21'!AD17</f>
        <v>243956.35415977897</v>
      </c>
      <c r="G14" s="307"/>
      <c r="J14" s="428"/>
      <c r="K14" s="428"/>
      <c r="L14" s="428"/>
      <c r="M14" s="428"/>
      <c r="O14" s="535"/>
    </row>
    <row r="15" spans="1:15">
      <c r="A15" s="176">
        <f>A14+1</f>
        <v>3</v>
      </c>
      <c r="B15" s="174" t="s">
        <v>1265</v>
      </c>
      <c r="C15" s="178"/>
      <c r="D15" s="307"/>
      <c r="E15" s="306"/>
      <c r="F15" s="1126">
        <f>SUM(F13:F14)</f>
        <v>323659.40511947509</v>
      </c>
      <c r="G15" s="307"/>
      <c r="J15" s="428"/>
      <c r="K15" s="428"/>
      <c r="L15" s="428"/>
      <c r="M15" s="428"/>
      <c r="O15" s="535"/>
    </row>
    <row r="16" spans="1:15">
      <c r="A16" s="176">
        <f t="shared" ref="A16:A51" si="0">A15+1</f>
        <v>4</v>
      </c>
      <c r="B16" s="178" t="s">
        <v>783</v>
      </c>
      <c r="C16" s="178"/>
      <c r="D16" s="1124">
        <f>'JHS-21'!CQ24+'JHS-21'!BA24</f>
        <v>7909056.94712942</v>
      </c>
      <c r="E16" s="306">
        <v>0.25569999999999998</v>
      </c>
      <c r="F16" s="1125">
        <f>+D16*E16</f>
        <v>2022345.8613809925</v>
      </c>
      <c r="G16" s="307"/>
      <c r="J16" s="428"/>
      <c r="K16" s="428"/>
      <c r="L16" s="428"/>
      <c r="M16" s="428"/>
      <c r="O16" s="535"/>
    </row>
    <row r="17" spans="1:15">
      <c r="A17" s="176">
        <f t="shared" si="0"/>
        <v>5</v>
      </c>
      <c r="C17" s="178"/>
      <c r="D17" s="307"/>
      <c r="E17" s="307"/>
      <c r="F17" s="307"/>
      <c r="G17" s="307"/>
      <c r="J17" s="428"/>
      <c r="K17" s="428"/>
      <c r="L17" s="428"/>
      <c r="M17" s="428"/>
      <c r="O17" s="535"/>
    </row>
    <row r="18" spans="1:15">
      <c r="A18" s="176">
        <f t="shared" si="0"/>
        <v>6</v>
      </c>
      <c r="B18" s="174" t="s">
        <v>851</v>
      </c>
      <c r="C18" s="178"/>
      <c r="D18" s="307"/>
      <c r="E18" s="307"/>
      <c r="F18" s="307"/>
      <c r="G18" s="307"/>
      <c r="J18" s="428"/>
      <c r="K18" s="428"/>
      <c r="L18" s="428"/>
      <c r="M18" s="428"/>
      <c r="O18" s="535"/>
    </row>
    <row r="19" spans="1:15">
      <c r="A19" s="176">
        <f t="shared" si="0"/>
        <v>7</v>
      </c>
      <c r="B19" s="179" t="s">
        <v>852</v>
      </c>
      <c r="C19" s="178"/>
      <c r="D19" s="1128">
        <f>'JHS-21'!CW35</f>
        <v>4898810.8528733775</v>
      </c>
      <c r="E19" s="306">
        <f>E16</f>
        <v>0.25569999999999998</v>
      </c>
      <c r="F19" s="1124">
        <f>+D19*E19</f>
        <v>1252625.9350797224</v>
      </c>
      <c r="G19" s="307"/>
      <c r="J19" s="428"/>
      <c r="K19" s="428"/>
      <c r="L19" s="428"/>
      <c r="M19" s="428"/>
      <c r="O19" s="535"/>
    </row>
    <row r="20" spans="1:15">
      <c r="A20" s="176">
        <f t="shared" si="0"/>
        <v>8</v>
      </c>
      <c r="B20" s="179" t="s">
        <v>853</v>
      </c>
      <c r="C20" s="178"/>
      <c r="D20" s="1129">
        <f>'JHS-21'!DB18</f>
        <v>13532440</v>
      </c>
      <c r="E20" s="306">
        <f>+E19</f>
        <v>0.25569999999999998</v>
      </c>
      <c r="F20" s="1125">
        <f>+D20*E20</f>
        <v>3460244.9079999998</v>
      </c>
      <c r="G20" s="307"/>
      <c r="J20" s="428"/>
      <c r="K20" s="428"/>
      <c r="L20" s="428"/>
      <c r="M20" s="428"/>
      <c r="O20" s="535"/>
    </row>
    <row r="21" spans="1:15">
      <c r="A21" s="176">
        <f t="shared" si="0"/>
        <v>9</v>
      </c>
      <c r="B21" s="179" t="s">
        <v>854</v>
      </c>
      <c r="C21" s="178"/>
      <c r="D21" s="1051">
        <v>1161724</v>
      </c>
      <c r="E21" s="306">
        <f>E20</f>
        <v>0.25569999999999998</v>
      </c>
      <c r="F21" s="1051">
        <f>+D21*E21</f>
        <v>297052.82679999998</v>
      </c>
      <c r="G21" s="307"/>
      <c r="J21" s="428"/>
      <c r="K21" s="428"/>
      <c r="L21" s="428"/>
      <c r="M21" s="428"/>
      <c r="O21" s="535"/>
    </row>
    <row r="22" spans="1:15">
      <c r="A22" s="176">
        <f t="shared" si="0"/>
        <v>10</v>
      </c>
      <c r="B22" s="174" t="s">
        <v>855</v>
      </c>
      <c r="C22" s="178"/>
      <c r="D22" s="1124">
        <f>SUM(D19:D21)</f>
        <v>19592974.852873378</v>
      </c>
      <c r="E22" s="307"/>
      <c r="F22" s="1124">
        <f>SUM(F19:F21)</f>
        <v>5009923.6698797224</v>
      </c>
      <c r="G22" s="307"/>
      <c r="J22" s="428"/>
      <c r="K22" s="428"/>
      <c r="L22" s="428"/>
      <c r="M22" s="428"/>
      <c r="O22" s="535"/>
    </row>
    <row r="23" spans="1:15">
      <c r="A23" s="176">
        <f t="shared" si="0"/>
        <v>11</v>
      </c>
      <c r="C23" s="178"/>
      <c r="D23" s="307"/>
      <c r="E23" s="307"/>
      <c r="F23" s="307"/>
      <c r="G23" s="307"/>
      <c r="J23" s="428"/>
      <c r="K23" s="428"/>
      <c r="L23" s="428"/>
      <c r="M23" s="428"/>
      <c r="O23" s="535"/>
    </row>
    <row r="24" spans="1:15">
      <c r="A24" s="176">
        <f t="shared" si="0"/>
        <v>12</v>
      </c>
      <c r="B24" s="174" t="s">
        <v>156</v>
      </c>
      <c r="C24" s="178"/>
      <c r="D24" s="307"/>
      <c r="E24" s="307"/>
      <c r="F24" s="307"/>
      <c r="G24" s="307"/>
      <c r="J24" s="428"/>
      <c r="K24" s="428"/>
      <c r="L24" s="428"/>
      <c r="M24" s="428"/>
      <c r="O24" s="535"/>
    </row>
    <row r="25" spans="1:15">
      <c r="A25" s="176">
        <f t="shared" si="0"/>
        <v>13</v>
      </c>
      <c r="B25" s="179" t="s">
        <v>586</v>
      </c>
      <c r="C25" s="178"/>
      <c r="D25" s="307"/>
      <c r="E25" s="307"/>
      <c r="F25" s="308">
        <f>'Prod Plant'!D49</f>
        <v>63184736</v>
      </c>
      <c r="G25" s="308">
        <v>29401018.190000001</v>
      </c>
      <c r="J25" s="428"/>
      <c r="K25" s="428"/>
      <c r="L25" s="428"/>
      <c r="M25" s="428"/>
      <c r="O25" s="535"/>
    </row>
    <row r="26" spans="1:15">
      <c r="A26" s="176">
        <f t="shared" si="0"/>
        <v>14</v>
      </c>
      <c r="B26" s="723" t="s">
        <v>733</v>
      </c>
      <c r="C26" s="178"/>
      <c r="D26" s="307"/>
      <c r="E26" s="307"/>
      <c r="F26" s="1125">
        <f>'JHS-20'!J22</f>
        <v>27986221.0576046</v>
      </c>
      <c r="G26" s="1125">
        <f>+F26*0.35</f>
        <v>9795177.3701616097</v>
      </c>
      <c r="J26" s="428"/>
      <c r="K26" s="428"/>
      <c r="L26" s="428"/>
      <c r="M26" s="428"/>
      <c r="O26" s="535"/>
    </row>
    <row r="27" spans="1:15">
      <c r="A27" s="176">
        <f t="shared" si="0"/>
        <v>15</v>
      </c>
      <c r="B27" s="723" t="s">
        <v>732</v>
      </c>
      <c r="C27" s="178"/>
      <c r="D27" s="307"/>
      <c r="E27" s="307"/>
      <c r="F27" s="1125">
        <f>'JHS-20'!I23</f>
        <v>4836017.4803273994</v>
      </c>
      <c r="G27" s="1125">
        <v>0</v>
      </c>
      <c r="J27" s="428"/>
      <c r="K27" s="428"/>
      <c r="L27" s="428"/>
      <c r="M27" s="428"/>
      <c r="O27" s="535"/>
    </row>
    <row r="28" spans="1:15">
      <c r="A28" s="176">
        <f t="shared" si="0"/>
        <v>16</v>
      </c>
      <c r="B28" s="723" t="s">
        <v>996</v>
      </c>
      <c r="C28" s="178"/>
      <c r="D28" s="307"/>
      <c r="E28" s="307"/>
      <c r="F28" s="538">
        <f>'JHS-20'!Y21</f>
        <v>-275496.65999999997</v>
      </c>
      <c r="G28" s="538">
        <f>F28*0.35</f>
        <v>-96423.830999999991</v>
      </c>
      <c r="H28" s="178"/>
      <c r="J28" s="428"/>
      <c r="K28" s="428"/>
      <c r="L28" s="428"/>
      <c r="M28" s="428"/>
      <c r="O28" s="535"/>
    </row>
    <row r="29" spans="1:15">
      <c r="A29" s="176">
        <f t="shared" si="0"/>
        <v>17</v>
      </c>
      <c r="B29" s="180" t="s">
        <v>856</v>
      </c>
      <c r="C29" s="178"/>
      <c r="D29" s="307"/>
      <c r="E29" s="307"/>
      <c r="F29" s="1130">
        <f>SUM(F25:F28)</f>
        <v>95731477.877931997</v>
      </c>
      <c r="G29" s="1130">
        <f>SUM(G25:G28)</f>
        <v>39099771.729161613</v>
      </c>
      <c r="J29" s="428"/>
      <c r="K29" s="428"/>
      <c r="L29" s="428"/>
      <c r="M29" s="428"/>
      <c r="O29" s="535"/>
    </row>
    <row r="30" spans="1:15">
      <c r="A30" s="176">
        <f t="shared" si="0"/>
        <v>18</v>
      </c>
      <c r="B30" s="174" t="s">
        <v>157</v>
      </c>
      <c r="C30" s="178"/>
      <c r="D30" s="307"/>
      <c r="E30" s="307"/>
      <c r="F30" s="308"/>
      <c r="G30" s="308"/>
      <c r="J30" s="428"/>
      <c r="K30" s="428"/>
      <c r="L30" s="428"/>
      <c r="M30" s="428"/>
      <c r="O30" s="535"/>
    </row>
    <row r="31" spans="1:15">
      <c r="A31" s="176">
        <f t="shared" si="0"/>
        <v>19</v>
      </c>
      <c r="B31" s="179" t="s">
        <v>857</v>
      </c>
      <c r="C31" s="178"/>
      <c r="D31" s="307"/>
      <c r="E31" s="307"/>
      <c r="F31" s="308"/>
      <c r="G31" s="308"/>
      <c r="J31" s="428"/>
      <c r="K31" s="428"/>
      <c r="L31" s="428"/>
      <c r="M31" s="428"/>
      <c r="O31" s="535"/>
    </row>
    <row r="32" spans="1:15">
      <c r="A32" s="176">
        <f t="shared" si="0"/>
        <v>20</v>
      </c>
      <c r="B32" s="180" t="s">
        <v>858</v>
      </c>
      <c r="C32" s="178"/>
      <c r="D32" s="307"/>
      <c r="E32" s="307"/>
      <c r="F32" s="309">
        <f>'Prod Plant'!D61</f>
        <v>1251705.19</v>
      </c>
      <c r="G32" s="309">
        <f>+F32*0.35</f>
        <v>438096.81649999996</v>
      </c>
      <c r="J32" s="428"/>
      <c r="K32" s="428"/>
      <c r="L32" s="428"/>
      <c r="M32" s="428"/>
      <c r="O32" s="535"/>
    </row>
    <row r="33" spans="1:15">
      <c r="A33" s="176">
        <f t="shared" si="0"/>
        <v>21</v>
      </c>
      <c r="B33" s="180" t="s">
        <v>147</v>
      </c>
      <c r="C33" s="178"/>
      <c r="D33" s="306">
        <v>1.4800000000000001E-2</v>
      </c>
      <c r="E33" s="307"/>
      <c r="F33" s="309">
        <v>354669</v>
      </c>
      <c r="G33" s="309">
        <f>-F33*D33*0.35</f>
        <v>-1837.1854199999998</v>
      </c>
      <c r="J33" s="428"/>
      <c r="K33" s="428"/>
      <c r="L33" s="428"/>
      <c r="M33" s="428"/>
      <c r="O33" s="535"/>
    </row>
    <row r="34" spans="1:15">
      <c r="A34" s="176">
        <f t="shared" si="0"/>
        <v>22</v>
      </c>
      <c r="B34" s="180" t="s">
        <v>148</v>
      </c>
      <c r="C34" s="178"/>
      <c r="D34" s="307"/>
      <c r="E34" s="307"/>
      <c r="F34" s="309">
        <v>104311</v>
      </c>
      <c r="G34" s="309">
        <f>+F34*0.35</f>
        <v>36508.85</v>
      </c>
      <c r="J34" s="428"/>
      <c r="K34" s="428"/>
      <c r="L34" s="428"/>
      <c r="M34" s="428"/>
      <c r="O34" s="535"/>
    </row>
    <row r="35" spans="1:15">
      <c r="A35" s="176">
        <f t="shared" si="0"/>
        <v>23</v>
      </c>
      <c r="B35" s="180" t="s">
        <v>149</v>
      </c>
      <c r="C35" s="178"/>
      <c r="D35" s="307"/>
      <c r="E35" s="307"/>
      <c r="F35" s="309">
        <v>2652900</v>
      </c>
      <c r="G35" s="309">
        <f>+F35*0.35</f>
        <v>928514.99999999988</v>
      </c>
      <c r="J35" s="428"/>
      <c r="K35" s="428"/>
      <c r="L35" s="428"/>
      <c r="M35" s="428"/>
      <c r="O35" s="535"/>
    </row>
    <row r="36" spans="1:15">
      <c r="A36" s="176">
        <f t="shared" si="0"/>
        <v>24</v>
      </c>
      <c r="B36" s="180" t="s">
        <v>663</v>
      </c>
      <c r="C36" s="178"/>
      <c r="D36" s="307"/>
      <c r="E36" s="307"/>
      <c r="F36" s="309">
        <v>2284109.7599999998</v>
      </c>
      <c r="G36" s="309">
        <f>+F36*0.35</f>
        <v>799438.41599999985</v>
      </c>
      <c r="J36" s="428"/>
      <c r="K36" s="428"/>
      <c r="L36" s="428"/>
      <c r="M36" s="428"/>
      <c r="O36" s="535"/>
    </row>
    <row r="37" spans="1:15">
      <c r="A37" s="176">
        <f t="shared" si="0"/>
        <v>25</v>
      </c>
      <c r="B37" s="180" t="s">
        <v>271</v>
      </c>
      <c r="C37" s="178"/>
      <c r="D37" s="307"/>
      <c r="E37" s="307"/>
      <c r="F37" s="309">
        <v>4616347.4400000004</v>
      </c>
      <c r="G37" s="309">
        <f>+F37*0.35</f>
        <v>1615721.6040000001</v>
      </c>
      <c r="J37" s="428"/>
      <c r="K37" s="428"/>
      <c r="L37" s="428"/>
      <c r="M37" s="428"/>
      <c r="O37" s="535"/>
    </row>
    <row r="38" spans="1:15">
      <c r="A38" s="176">
        <f t="shared" si="0"/>
        <v>26</v>
      </c>
      <c r="B38" s="181"/>
      <c r="C38" s="178"/>
      <c r="D38" s="307"/>
      <c r="E38" s="307"/>
      <c r="F38" s="438">
        <f>SUM(F32:F37)</f>
        <v>11264042.390000001</v>
      </c>
      <c r="G38" s="537">
        <f>SUM(G32:G37)</f>
        <v>3816443.5010799998</v>
      </c>
      <c r="J38" s="428"/>
      <c r="K38" s="428"/>
      <c r="L38" s="428"/>
      <c r="M38" s="428"/>
      <c r="O38" s="535"/>
    </row>
    <row r="39" spans="1:15">
      <c r="A39" s="176">
        <f t="shared" si="0"/>
        <v>27</v>
      </c>
      <c r="B39" s="174" t="s">
        <v>150</v>
      </c>
      <c r="C39" s="178"/>
      <c r="D39" s="307"/>
      <c r="E39" s="307"/>
      <c r="F39" s="1126">
        <f>F29+F38</f>
        <v>106995520.267932</v>
      </c>
      <c r="G39" s="1126">
        <f>G29+G38</f>
        <v>42916215.230241612</v>
      </c>
      <c r="J39" s="428"/>
      <c r="K39" s="428"/>
      <c r="L39" s="428"/>
      <c r="M39" s="428"/>
      <c r="O39" s="535"/>
    </row>
    <row r="40" spans="1:15">
      <c r="A40" s="176">
        <f t="shared" si="0"/>
        <v>28</v>
      </c>
      <c r="C40" s="178"/>
      <c r="D40" s="307"/>
      <c r="E40" s="307"/>
      <c r="F40" s="307"/>
      <c r="G40" s="307"/>
      <c r="J40" s="428"/>
      <c r="K40" s="428"/>
      <c r="L40" s="428"/>
      <c r="M40" s="428"/>
      <c r="O40" s="535"/>
    </row>
    <row r="41" spans="1:15">
      <c r="A41" s="176">
        <f t="shared" si="0"/>
        <v>29</v>
      </c>
      <c r="B41" s="178" t="s">
        <v>151</v>
      </c>
      <c r="C41" s="178"/>
      <c r="D41" s="307"/>
      <c r="E41" s="307"/>
      <c r="F41" s="307"/>
      <c r="G41" s="439">
        <f>+'Production Factor'!F21</f>
        <v>2.0990000000000002E-2</v>
      </c>
      <c r="J41" s="428"/>
      <c r="K41" s="428"/>
      <c r="L41" s="428"/>
      <c r="M41" s="428"/>
      <c r="O41" s="535"/>
    </row>
    <row r="42" spans="1:15">
      <c r="A42" s="176">
        <f t="shared" si="0"/>
        <v>30</v>
      </c>
      <c r="C42" s="178"/>
      <c r="D42" s="307"/>
      <c r="E42" s="307"/>
      <c r="F42" s="307"/>
      <c r="G42" s="307"/>
      <c r="J42" s="428"/>
      <c r="K42" s="428"/>
      <c r="L42" s="428"/>
      <c r="M42" s="428"/>
      <c r="O42" s="535"/>
    </row>
    <row r="43" spans="1:15" ht="13.5" thickBot="1">
      <c r="A43" s="176">
        <f t="shared" si="0"/>
        <v>31</v>
      </c>
      <c r="B43" s="174" t="s">
        <v>159</v>
      </c>
      <c r="C43" s="178"/>
      <c r="D43" s="307"/>
      <c r="E43" s="307"/>
      <c r="F43" s="307"/>
      <c r="G43" s="1131">
        <f>+G29*G41</f>
        <v>820704.2085951023</v>
      </c>
      <c r="J43" s="428"/>
      <c r="K43" s="428"/>
      <c r="L43" s="428"/>
      <c r="M43" s="428"/>
      <c r="O43" s="535"/>
    </row>
    <row r="44" spans="1:15" ht="14.25" thickTop="1" thickBot="1">
      <c r="A44" s="176">
        <f t="shared" si="0"/>
        <v>32</v>
      </c>
      <c r="B44" s="174" t="s">
        <v>160</v>
      </c>
      <c r="C44" s="178"/>
      <c r="D44" s="307"/>
      <c r="E44" s="307"/>
      <c r="F44" s="307"/>
      <c r="G44" s="539">
        <f>G38*G41</f>
        <v>80107.149087669197</v>
      </c>
      <c r="J44" s="428"/>
      <c r="K44" s="428"/>
      <c r="L44" s="428"/>
      <c r="M44" s="428"/>
      <c r="O44" s="535"/>
    </row>
    <row r="45" spans="1:15" ht="13.5" thickTop="1">
      <c r="A45" s="176">
        <f t="shared" si="0"/>
        <v>33</v>
      </c>
      <c r="B45" s="180" t="s">
        <v>270</v>
      </c>
      <c r="C45" s="178"/>
      <c r="D45" s="307"/>
      <c r="E45" s="307"/>
      <c r="F45" s="307"/>
      <c r="G45" s="307"/>
    </row>
    <row r="46" spans="1:15">
      <c r="A46" s="176">
        <f t="shared" si="0"/>
        <v>34</v>
      </c>
      <c r="B46" s="178" t="str">
        <f>"(1)  Line "&amp;A33&amp;" is calculated as follows:  -("&amp;DOLLAR(F33,0)&amp;" * "&amp;D33*100&amp;"% * 35%) = ("&amp;DOLLAR(-G33,0)&amp;")"</f>
        <v>(1)  Line 21 is calculated as follows:  -($354,669 * 1.48% * 35%) = ($1,837)</v>
      </c>
      <c r="C46" s="178"/>
      <c r="D46" s="307"/>
      <c r="E46" s="307"/>
      <c r="F46" s="307"/>
      <c r="G46" s="307"/>
    </row>
    <row r="47" spans="1:15">
      <c r="A47" s="176">
        <f t="shared" si="0"/>
        <v>35</v>
      </c>
      <c r="B47" s="178"/>
      <c r="D47" s="305"/>
      <c r="E47" s="305"/>
      <c r="F47" s="305"/>
      <c r="G47" s="307"/>
    </row>
    <row r="48" spans="1:15">
      <c r="A48" s="176">
        <f t="shared" si="0"/>
        <v>36</v>
      </c>
      <c r="B48" s="174" t="s">
        <v>162</v>
      </c>
      <c r="D48" s="305"/>
      <c r="E48" s="305"/>
      <c r="F48" s="305"/>
      <c r="G48" s="305"/>
    </row>
    <row r="49" spans="1:2">
      <c r="A49" s="176">
        <f t="shared" si="0"/>
        <v>37</v>
      </c>
      <c r="B49" s="279" t="s">
        <v>823</v>
      </c>
    </row>
    <row r="50" spans="1:2">
      <c r="A50" s="176">
        <f t="shared" si="0"/>
        <v>38</v>
      </c>
      <c r="B50" s="272" t="s">
        <v>824</v>
      </c>
    </row>
    <row r="51" spans="1:2">
      <c r="A51" s="176">
        <f t="shared" si="0"/>
        <v>39</v>
      </c>
      <c r="B51" s="180" t="s">
        <v>165</v>
      </c>
    </row>
    <row r="53" spans="1:2" ht="13.5">
      <c r="A53" s="302"/>
    </row>
    <row r="73" spans="7:7">
      <c r="G73" s="182"/>
    </row>
  </sheetData>
  <customSheetViews>
    <customSheetView guid="{D358E58B-5EA6-4EB2-8562-4D9FEBA8EA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"/>
      <headerFooter alignWithMargins="0"/>
    </customSheetView>
    <customSheetView guid="{DD70B4E1-CC64-4568-BFD6-83390A7B026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"/>
      <headerFooter alignWithMargins="0"/>
    </customSheetView>
    <customSheetView guid="{1E64D771-8C52-4EFE-8F0D-67326F43276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"/>
      <headerFooter alignWithMargins="0"/>
    </customSheetView>
    <customSheetView guid="{8920654A-B782-40BF-9A51-A43F20A27C0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4"/>
      <headerFooter alignWithMargins="0"/>
    </customSheetView>
    <customSheetView guid="{F985D028-064A-46CA-9D34-E4E9B88A9B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5"/>
      <headerFooter alignWithMargins="0"/>
    </customSheetView>
    <customSheetView guid="{CD5012F4-E6A6-495E-BF90-5F6D9EE7AF29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6"/>
      <headerFooter alignWithMargins="0"/>
    </customSheetView>
    <customSheetView guid="{14262664-129C-4E9B-8245-4B43AF19E33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7"/>
      <headerFooter alignWithMargins="0"/>
    </customSheetView>
    <customSheetView guid="{8E7EA697-A1C1-4FA5-9CC7-93304413A1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8"/>
      <headerFooter alignWithMargins="0"/>
    </customSheetView>
    <customSheetView guid="{F531E925-9E0B-409C-9EAA-ADCDD51D6BA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9"/>
      <headerFooter alignWithMargins="0"/>
    </customSheetView>
    <customSheetView guid="{4840C72E-33E7-45CF-A897-030BC56F6B9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0"/>
      <headerFooter alignWithMargins="0"/>
    </customSheetView>
    <customSheetView guid="{40B7FB48-DAE3-4682-852F-AC0650D2BE1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1"/>
      <headerFooter alignWithMargins="0"/>
    </customSheetView>
    <customSheetView guid="{A3FBC4C2-6ECB-480C-89DD-35506B04887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2"/>
      <headerFooter alignWithMargins="0"/>
    </customSheetView>
    <customSheetView guid="{EDF3DC03-FBB9-4397-9335-6FA548B9B5C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3"/>
      <headerFooter alignWithMargins="0"/>
    </customSheetView>
    <customSheetView guid="{605C023E-A5C7-400F-9AAA-827B8FDB13A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4"/>
      <headerFooter alignWithMargins="0"/>
    </customSheetView>
    <customSheetView guid="{3DB8EC99-BD55-4ABF-B71E-F70797B017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5"/>
      <headerFooter alignWithMargins="0"/>
    </customSheetView>
    <customSheetView guid="{62EE4FB2-B9F8-4C5D-BC5C-181361F6DD8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6"/>
      <headerFooter alignWithMargins="0"/>
    </customSheetView>
    <customSheetView guid="{BBEC464C-25F9-4835-BB05-13062D5DEAC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7"/>
      <headerFooter alignWithMargins="0"/>
    </customSheetView>
    <customSheetView guid="{88A240CE-F5A6-4995-A526-0E22BADCFF6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8"/>
      <headerFooter alignWithMargins="0"/>
    </customSheetView>
    <customSheetView guid="{3834E606-B28A-4696-9192-7BDA898195A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9"/>
      <headerFooter alignWithMargins="0"/>
    </customSheetView>
    <customSheetView guid="{D564613F-7CF3-40DE-8CDA-0C25C1F35855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0"/>
      <headerFooter alignWithMargins="0"/>
    </customSheetView>
    <customSheetView guid="{BA39091D-C7FC-45D0-82A3-5E4EAAFABA5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1"/>
      <headerFooter alignWithMargins="0"/>
    </customSheetView>
    <customSheetView guid="{3797879C-3298-4122-A12D-3DFD0284FB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2"/>
      <headerFooter alignWithMargins="0"/>
    </customSheetView>
    <customSheetView guid="{46E5C546-9AEA-4E06-B017-805B7E255C9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3"/>
      <headerFooter alignWithMargins="0"/>
    </customSheetView>
    <customSheetView guid="{813D7A4F-EDF6-49ED-B8FD-B74D0B9276A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4"/>
      <headerFooter alignWithMargins="0"/>
    </customSheetView>
    <customSheetView guid="{28C5A156-92F3-4234-9C7A-A32D75F798C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5"/>
      <headerFooter alignWithMargins="0"/>
    </customSheetView>
    <customSheetView guid="{E98B4028-3602-46AA-8C00-41FD8ABF883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6"/>
      <headerFooter alignWithMargins="0"/>
    </customSheetView>
    <customSheetView guid="{41713566-6DDC-4C14-8259-D9C15B9E45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7"/>
      <headerFooter alignWithMargins="0"/>
    </customSheetView>
    <customSheetView guid="{990691EF-FF43-4000-BCD8-6862D2BAD44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8"/>
      <headerFooter alignWithMargins="0"/>
    </customSheetView>
    <customSheetView guid="{17768135-68BF-4539-94C0-50ED7816A69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9"/>
      <headerFooter alignWithMargins="0"/>
    </customSheetView>
    <customSheetView guid="{DF4E3B04-E442-43A1-A47D-E26F6CE7F11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0"/>
      <headerFooter alignWithMargins="0"/>
    </customSheetView>
    <customSheetView guid="{2DBDF3D7-BA4D-404D-AE4B-DFD7008C041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1"/>
      <headerFooter alignWithMargins="0"/>
    </customSheetView>
    <customSheetView guid="{423F2953-9177-4482-AE78-C7C47BA8995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2"/>
      <headerFooter alignWithMargins="0"/>
    </customSheetView>
    <customSheetView guid="{E2C26153-D457-4603-B564-60CFADB5026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3"/>
      <headerFooter alignWithMargins="0"/>
    </customSheetView>
    <customSheetView guid="{C3CE34FF-D7D7-4ECF-B6E1-4700E3130E9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4"/>
      <headerFooter alignWithMargins="0"/>
    </customSheetView>
    <customSheetView guid="{067119CC-1C61-43DB-B4BB-54397DC63A9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5"/>
      <headerFooter alignWithMargins="0"/>
    </customSheetView>
    <customSheetView guid="{FEFCE477-944B-4DAC-AD75-686CC83D0F0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6"/>
      <headerFooter alignWithMargins="0"/>
    </customSheetView>
    <customSheetView guid="{D034A8AA-A968-4D12-B6AF-09F53E5CD513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7"/>
      <headerFooter alignWithMargins="0"/>
    </customSheetView>
    <customSheetView guid="{ACABE5FC-E604-45C9-ACB7-53C863CA19F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8"/>
      <headerFooter alignWithMargins="0"/>
    </customSheetView>
  </customSheetViews>
  <mergeCells count="1">
    <mergeCell ref="B1:D1"/>
  </mergeCells>
  <phoneticPr fontId="17" type="noConversion"/>
  <printOptions horizontalCentered="1"/>
  <pageMargins left="0.5" right="0.5" top="0.25" bottom="0.25" header="0.5" footer="0.25"/>
  <pageSetup scale="98" orientation="portrait" r:id="rId39"/>
  <headerFooter alignWithMargins="0">
    <oddFooter>&amp;L&amp;"Times New Roman,Bold Italic"&amp;10Amounts presented in bold and italicized font have been changed from PSE's September 1, 2011 Supplemental Filing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M115"/>
  <sheetViews>
    <sheetView zoomScaleNormal="100" workbookViewId="0">
      <selection activeCell="F14" sqref="F14"/>
    </sheetView>
  </sheetViews>
  <sheetFormatPr defaultColWidth="10.6640625" defaultRowHeight="12.75"/>
  <cols>
    <col min="1" max="1" width="5.83203125" style="174" bestFit="1" customWidth="1"/>
    <col min="2" max="5" width="22.83203125" style="174" customWidth="1"/>
    <col min="6" max="6" width="19.5" style="174" bestFit="1" customWidth="1"/>
    <col min="7" max="7" width="18" style="174" bestFit="1" customWidth="1"/>
    <col min="8" max="16384" width="10.6640625" style="174"/>
  </cols>
  <sheetData>
    <row r="1" spans="1:13" ht="15.75">
      <c r="A1" s="16"/>
      <c r="C1" s="1504" t="s">
        <v>1491</v>
      </c>
      <c r="D1" s="1505"/>
      <c r="E1" s="1505"/>
      <c r="G1" s="827"/>
      <c r="H1" s="827"/>
      <c r="I1" s="827"/>
      <c r="J1" s="827"/>
      <c r="K1" s="827"/>
      <c r="L1" s="827"/>
      <c r="M1" s="827"/>
    </row>
    <row r="2" spans="1:13">
      <c r="A2" s="824" t="s">
        <v>840</v>
      </c>
      <c r="B2" s="824"/>
      <c r="C2" s="824"/>
      <c r="D2" s="824"/>
      <c r="E2" s="824"/>
      <c r="F2" s="824"/>
      <c r="G2" s="827"/>
      <c r="H2" s="827"/>
      <c r="I2" s="827"/>
      <c r="J2" s="827"/>
      <c r="K2" s="827"/>
      <c r="L2" s="827"/>
      <c r="M2" s="827"/>
    </row>
    <row r="3" spans="1:13">
      <c r="A3" s="824" t="s">
        <v>151</v>
      </c>
      <c r="B3" s="824"/>
      <c r="C3" s="824"/>
      <c r="D3" s="824"/>
      <c r="E3" s="824"/>
      <c r="F3" s="824"/>
      <c r="G3" s="827"/>
      <c r="H3" s="827"/>
      <c r="I3" s="827"/>
      <c r="J3" s="827"/>
      <c r="K3" s="827"/>
      <c r="L3" s="827"/>
      <c r="M3" s="827"/>
    </row>
    <row r="4" spans="1:13">
      <c r="A4" s="824" t="s">
        <v>962</v>
      </c>
      <c r="B4" s="824"/>
      <c r="C4" s="824"/>
      <c r="D4" s="824"/>
      <c r="E4" s="824"/>
      <c r="F4" s="824"/>
      <c r="G4" s="827"/>
      <c r="H4" s="827"/>
      <c r="I4" s="827"/>
      <c r="J4" s="827"/>
      <c r="K4" s="827"/>
      <c r="L4" s="827"/>
      <c r="M4" s="827"/>
    </row>
    <row r="5" spans="1:13">
      <c r="A5" s="825"/>
      <c r="B5" s="825"/>
      <c r="C5" s="825"/>
      <c r="D5" s="825"/>
      <c r="E5" s="825"/>
      <c r="F5" s="826"/>
      <c r="G5" s="827"/>
      <c r="H5" s="827"/>
      <c r="I5" s="827"/>
      <c r="J5" s="827"/>
      <c r="K5" s="827"/>
      <c r="L5" s="827"/>
      <c r="M5" s="827"/>
    </row>
    <row r="6" spans="1:13">
      <c r="A6" s="827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</row>
    <row r="7" spans="1:13">
      <c r="A7" s="825"/>
      <c r="B7" s="825"/>
      <c r="C7" s="825"/>
      <c r="D7" s="825"/>
      <c r="E7" s="825"/>
      <c r="F7" s="825" t="s">
        <v>844</v>
      </c>
      <c r="G7" s="827"/>
      <c r="H7" s="827"/>
      <c r="I7" s="827"/>
      <c r="J7" s="827"/>
      <c r="K7" s="827"/>
      <c r="L7" s="827"/>
      <c r="M7" s="827"/>
    </row>
    <row r="8" spans="1:13">
      <c r="A8" s="828" t="s">
        <v>846</v>
      </c>
      <c r="B8" s="828" t="s">
        <v>1285</v>
      </c>
      <c r="C8" s="828"/>
      <c r="D8" s="828"/>
      <c r="E8" s="828"/>
      <c r="F8" s="828" t="s">
        <v>848</v>
      </c>
      <c r="G8" s="827"/>
      <c r="H8" s="827"/>
      <c r="I8" s="827"/>
      <c r="J8" s="827"/>
      <c r="K8" s="827"/>
      <c r="L8" s="827"/>
      <c r="M8" s="827"/>
    </row>
    <row r="9" spans="1:13">
      <c r="A9" s="825"/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</row>
    <row r="10" spans="1:13">
      <c r="A10" s="825">
        <v>1</v>
      </c>
      <c r="B10" s="827" t="s">
        <v>1304</v>
      </c>
      <c r="C10" s="827"/>
      <c r="D10" s="827"/>
      <c r="E10" s="827"/>
      <c r="F10" s="745">
        <v>21033671724</v>
      </c>
      <c r="G10" s="827"/>
      <c r="H10" s="827"/>
      <c r="I10" s="827"/>
      <c r="J10" s="827"/>
      <c r="K10" s="827"/>
      <c r="L10" s="827"/>
      <c r="M10" s="827"/>
    </row>
    <row r="11" spans="1:13">
      <c r="A11" s="825">
        <f>A10+1</f>
        <v>2</v>
      </c>
      <c r="B11" s="829" t="s">
        <v>1305</v>
      </c>
      <c r="C11" s="829"/>
      <c r="D11" s="829"/>
      <c r="E11" s="830"/>
      <c r="F11" s="834">
        <v>-125288128</v>
      </c>
      <c r="G11" s="827"/>
      <c r="H11" s="827"/>
      <c r="I11" s="827"/>
      <c r="J11" s="827"/>
      <c r="K11" s="827"/>
      <c r="L11" s="827"/>
      <c r="M11" s="827"/>
    </row>
    <row r="12" spans="1:13">
      <c r="A12" s="825">
        <f t="shared" ref="A12:A21" si="0">A11+1</f>
        <v>3</v>
      </c>
      <c r="B12" s="829" t="s">
        <v>618</v>
      </c>
      <c r="C12" s="829"/>
      <c r="D12" s="829"/>
      <c r="E12" s="830"/>
      <c r="F12" s="835"/>
      <c r="G12" s="827"/>
      <c r="H12" s="827"/>
      <c r="I12" s="827"/>
      <c r="J12" s="827"/>
      <c r="K12" s="827"/>
      <c r="L12" s="827"/>
      <c r="M12" s="827"/>
    </row>
    <row r="13" spans="1:13">
      <c r="A13" s="825">
        <f t="shared" si="0"/>
        <v>4</v>
      </c>
      <c r="B13" s="829" t="s">
        <v>1306</v>
      </c>
      <c r="C13" s="829"/>
      <c r="D13" s="829"/>
      <c r="E13" s="830"/>
      <c r="F13" s="834">
        <f>SUM(F10:F11)</f>
        <v>20908383596</v>
      </c>
      <c r="G13" s="827"/>
      <c r="H13" s="827"/>
      <c r="I13" s="827"/>
      <c r="J13" s="827"/>
      <c r="K13" s="827"/>
      <c r="L13" s="827"/>
      <c r="M13" s="827"/>
    </row>
    <row r="14" spans="1:13">
      <c r="A14" s="825">
        <f t="shared" si="0"/>
        <v>5</v>
      </c>
      <c r="B14" s="829" t="s">
        <v>1307</v>
      </c>
      <c r="C14" s="829"/>
      <c r="D14" s="829"/>
      <c r="E14" s="830"/>
      <c r="F14" s="834">
        <f>SUM('JHS-21'!E29:E40)</f>
        <v>234916406.48292115</v>
      </c>
      <c r="G14" s="775"/>
      <c r="H14" s="827"/>
      <c r="I14" s="827"/>
      <c r="J14" s="827"/>
      <c r="K14" s="827"/>
      <c r="L14" s="827"/>
      <c r="M14" s="827"/>
    </row>
    <row r="15" spans="1:13">
      <c r="A15" s="825">
        <f t="shared" si="0"/>
        <v>6</v>
      </c>
      <c r="B15" s="829"/>
      <c r="C15" s="829"/>
      <c r="D15" s="829"/>
      <c r="E15" s="830"/>
      <c r="F15" s="835"/>
      <c r="G15" s="827"/>
      <c r="H15" s="827"/>
      <c r="I15" s="827"/>
      <c r="J15" s="827"/>
      <c r="K15" s="827"/>
      <c r="L15" s="827"/>
      <c r="M15" s="827"/>
    </row>
    <row r="16" spans="1:13">
      <c r="A16" s="825">
        <f t="shared" si="0"/>
        <v>7</v>
      </c>
      <c r="B16" s="829" t="s">
        <v>1308</v>
      </c>
      <c r="C16" s="829"/>
      <c r="D16" s="829"/>
      <c r="E16" s="105" t="s">
        <v>765</v>
      </c>
      <c r="F16" s="833">
        <f>SUM(F13:F14)</f>
        <v>21143300002.482922</v>
      </c>
      <c r="G16" s="827"/>
      <c r="H16" s="827"/>
      <c r="I16" s="827"/>
      <c r="J16" s="827"/>
      <c r="K16" s="827"/>
      <c r="L16" s="827"/>
      <c r="M16" s="827"/>
    </row>
    <row r="17" spans="1:13">
      <c r="A17" s="825">
        <f t="shared" si="0"/>
        <v>8</v>
      </c>
      <c r="B17" s="829" t="s">
        <v>166</v>
      </c>
      <c r="C17" s="829"/>
      <c r="D17" s="829"/>
      <c r="E17" s="105"/>
      <c r="F17" s="745">
        <f>'DEM RY PC'!P21*1000</f>
        <v>21596717808.000004</v>
      </c>
      <c r="G17" s="827"/>
      <c r="H17" s="827"/>
      <c r="I17" s="827"/>
      <c r="J17" s="827"/>
      <c r="K17" s="827"/>
      <c r="L17" s="827"/>
      <c r="M17" s="827"/>
    </row>
    <row r="18" spans="1:13">
      <c r="A18" s="825">
        <f t="shared" si="0"/>
        <v>9</v>
      </c>
      <c r="B18" s="829"/>
      <c r="C18" s="829"/>
      <c r="D18" s="829"/>
      <c r="E18" s="830"/>
      <c r="F18" s="105"/>
      <c r="G18" s="827"/>
      <c r="H18" s="827"/>
      <c r="I18" s="827"/>
      <c r="J18" s="827"/>
      <c r="K18" s="827"/>
      <c r="L18" s="827"/>
      <c r="M18" s="827"/>
    </row>
    <row r="19" spans="1:13">
      <c r="A19" s="825">
        <f t="shared" si="0"/>
        <v>10</v>
      </c>
      <c r="B19" s="829" t="s">
        <v>1058</v>
      </c>
      <c r="C19" s="829"/>
      <c r="D19" s="831"/>
      <c r="E19" s="832"/>
      <c r="F19" s="1088">
        <f>IF(ISERROR(ROUND(+F16/F17,5)),1,ROUND(+F16/F17,5))</f>
        <v>0.97901000000000005</v>
      </c>
      <c r="G19" s="827"/>
      <c r="H19" s="827"/>
      <c r="I19" s="827"/>
      <c r="J19" s="827"/>
      <c r="K19" s="827"/>
      <c r="L19" s="827"/>
      <c r="M19" s="827"/>
    </row>
    <row r="20" spans="1:13">
      <c r="A20" s="825">
        <f t="shared" si="0"/>
        <v>11</v>
      </c>
      <c r="B20" s="829"/>
      <c r="C20" s="829"/>
      <c r="D20" s="831"/>
      <c r="E20" s="832"/>
      <c r="F20" s="1088"/>
      <c r="G20" s="827"/>
      <c r="H20" s="827"/>
      <c r="I20" s="827"/>
      <c r="J20" s="827"/>
      <c r="K20" s="827"/>
      <c r="L20" s="827"/>
      <c r="M20" s="827"/>
    </row>
    <row r="21" spans="1:13" ht="13.5" thickBot="1">
      <c r="A21" s="825">
        <f t="shared" si="0"/>
        <v>12</v>
      </c>
      <c r="B21" s="829" t="s">
        <v>1068</v>
      </c>
      <c r="C21" s="829"/>
      <c r="D21" s="831"/>
      <c r="E21" s="832"/>
      <c r="F21" s="1088">
        <f>ROUND(1-F19,5)</f>
        <v>2.0990000000000002E-2</v>
      </c>
      <c r="G21" s="827"/>
      <c r="H21" s="827"/>
      <c r="I21" s="827"/>
      <c r="J21" s="827"/>
      <c r="K21" s="827"/>
      <c r="L21" s="827"/>
      <c r="M21" s="827"/>
    </row>
    <row r="22" spans="1:13">
      <c r="A22" s="825"/>
      <c r="B22" s="829"/>
      <c r="C22" s="830"/>
      <c r="D22" s="830"/>
      <c r="E22" s="830"/>
      <c r="F22" s="1089"/>
      <c r="G22" s="830"/>
      <c r="H22" s="827"/>
      <c r="I22" s="827"/>
      <c r="J22" s="827"/>
      <c r="K22" s="827"/>
      <c r="L22" s="827"/>
      <c r="M22" s="827"/>
    </row>
    <row r="23" spans="1:13">
      <c r="A23"/>
      <c r="B23" s="829"/>
      <c r="C23" s="829"/>
      <c r="D23" s="829"/>
      <c r="E23" s="829"/>
      <c r="F23" s="1090"/>
      <c r="G23" s="830"/>
      <c r="H23" s="827"/>
      <c r="I23" s="827"/>
      <c r="J23" s="827"/>
      <c r="K23" s="827"/>
      <c r="L23" s="827"/>
      <c r="M23" s="827"/>
    </row>
    <row r="24" spans="1:13">
      <c r="A24" s="825"/>
      <c r="B24" s="830"/>
      <c r="C24" s="829"/>
      <c r="D24" s="829"/>
      <c r="E24" s="829"/>
      <c r="F24"/>
      <c r="G24" s="830"/>
      <c r="H24" s="827"/>
      <c r="I24" s="827"/>
      <c r="J24" s="827"/>
      <c r="K24" s="827"/>
      <c r="L24" s="827"/>
      <c r="M24" s="827"/>
    </row>
    <row r="25" spans="1:13">
      <c r="A25" s="825"/>
      <c r="B25" s="829"/>
      <c r="C25" s="829"/>
      <c r="D25" s="829"/>
      <c r="E25" s="829"/>
      <c r="F25" s="827"/>
      <c r="G25" s="830"/>
      <c r="H25" s="827"/>
      <c r="I25" s="827"/>
      <c r="J25" s="827"/>
      <c r="K25" s="827"/>
      <c r="L25" s="827"/>
      <c r="M25" s="827"/>
    </row>
    <row r="26" spans="1:13">
      <c r="A26" s="16"/>
      <c r="B26" s="829"/>
      <c r="C26" s="829"/>
      <c r="D26" s="829"/>
      <c r="E26" s="829"/>
      <c r="F26" s="827"/>
      <c r="G26" s="830"/>
      <c r="H26" s="827"/>
      <c r="I26" s="827"/>
      <c r="J26" s="827"/>
      <c r="K26" s="827"/>
      <c r="L26" s="827"/>
      <c r="M26" s="827"/>
    </row>
    <row r="27" spans="1:13">
      <c r="A27" s="825"/>
      <c r="B27" s="829"/>
      <c r="C27" s="829"/>
      <c r="D27" s="829"/>
      <c r="E27" s="829"/>
      <c r="F27" s="827"/>
      <c r="G27" s="830"/>
      <c r="H27" s="827"/>
      <c r="I27" s="827"/>
      <c r="J27" s="827"/>
      <c r="K27" s="827"/>
      <c r="L27" s="827"/>
      <c r="M27" s="827"/>
    </row>
    <row r="28" spans="1:13">
      <c r="A28" s="825"/>
      <c r="B28" s="829"/>
      <c r="C28" s="829"/>
      <c r="D28" s="829"/>
      <c r="E28" s="829"/>
      <c r="F28" s="827"/>
      <c r="G28" s="827"/>
      <c r="H28" s="827"/>
      <c r="I28" s="827"/>
      <c r="J28" s="827"/>
      <c r="K28" s="827"/>
      <c r="L28" s="827"/>
      <c r="M28" s="827"/>
    </row>
    <row r="29" spans="1:13">
      <c r="A29" s="825"/>
      <c r="B29" s="830"/>
      <c r="C29" s="830"/>
      <c r="D29" s="830"/>
      <c r="E29" s="830"/>
      <c r="F29"/>
      <c r="G29" s="827"/>
      <c r="H29" s="827"/>
      <c r="I29" s="827"/>
      <c r="J29" s="827"/>
      <c r="K29" s="827"/>
      <c r="L29" s="827"/>
      <c r="M29" s="827"/>
    </row>
    <row r="30" spans="1:13">
      <c r="A30" s="825"/>
      <c r="B30" s="829"/>
      <c r="C30" s="829"/>
      <c r="D30" s="829"/>
      <c r="E30" s="829"/>
      <c r="F30" s="827"/>
      <c r="G30" s="827"/>
      <c r="H30" s="827"/>
      <c r="I30" s="827"/>
      <c r="J30" s="827"/>
      <c r="K30" s="827"/>
      <c r="L30" s="827"/>
      <c r="M30" s="827"/>
    </row>
    <row r="31" spans="1:13">
      <c r="A31" s="827"/>
      <c r="B31" s="829"/>
      <c r="C31" s="829"/>
      <c r="D31" s="829"/>
      <c r="E31" s="829"/>
      <c r="F31"/>
      <c r="G31" s="827"/>
      <c r="H31" s="827"/>
      <c r="I31" s="827"/>
      <c r="J31" s="827"/>
      <c r="K31" s="827"/>
      <c r="L31" s="827"/>
      <c r="M31" s="827"/>
    </row>
    <row r="32" spans="1:13">
      <c r="A32" s="827"/>
      <c r="B32" s="829"/>
      <c r="C32" s="829"/>
      <c r="D32" s="829"/>
      <c r="E32" s="829"/>
      <c r="F32" s="827"/>
      <c r="G32" s="827"/>
      <c r="H32" s="827"/>
      <c r="I32" s="827"/>
      <c r="J32" s="827"/>
      <c r="K32" s="827"/>
      <c r="L32" s="827"/>
      <c r="M32" s="827"/>
    </row>
    <row r="33" spans="1:13">
      <c r="A33" s="827"/>
      <c r="B33" s="829"/>
      <c r="C33" s="829"/>
      <c r="D33" s="829"/>
      <c r="E33" s="829"/>
      <c r="F33" s="827"/>
      <c r="G33" s="827"/>
      <c r="H33" s="827"/>
      <c r="I33" s="827"/>
      <c r="J33" s="827"/>
      <c r="K33" s="827"/>
      <c r="L33" s="827"/>
      <c r="M33" s="827"/>
    </row>
    <row r="34" spans="1:13">
      <c r="A34" s="827"/>
      <c r="B34" s="829"/>
      <c r="C34" s="829"/>
      <c r="D34" s="829"/>
      <c r="E34" s="829"/>
      <c r="F34" s="827"/>
      <c r="G34" s="827"/>
      <c r="H34" s="827"/>
      <c r="I34" s="827"/>
      <c r="J34" s="827"/>
      <c r="K34" s="827"/>
      <c r="L34" s="827"/>
      <c r="M34" s="827"/>
    </row>
    <row r="35" spans="1:13">
      <c r="A35" s="827"/>
      <c r="B35" s="829"/>
      <c r="C35" s="829"/>
      <c r="D35" s="829"/>
      <c r="E35" s="829"/>
      <c r="F35" s="827"/>
      <c r="G35" s="827"/>
      <c r="H35" s="827"/>
      <c r="I35" s="827"/>
      <c r="J35" s="827"/>
      <c r="K35" s="827"/>
      <c r="L35" s="827"/>
      <c r="M35" s="827"/>
    </row>
    <row r="36" spans="1:13">
      <c r="A36" s="827"/>
      <c r="B36" s="829"/>
      <c r="C36" s="829"/>
      <c r="D36" s="829"/>
      <c r="E36" s="829"/>
      <c r="F36" s="827"/>
      <c r="G36" s="827"/>
      <c r="H36" s="827"/>
      <c r="I36" s="827"/>
      <c r="J36" s="827"/>
      <c r="K36" s="827"/>
      <c r="L36" s="827"/>
      <c r="M36" s="827"/>
    </row>
    <row r="37" spans="1:13">
      <c r="A37" s="827"/>
      <c r="B37" s="829"/>
      <c r="C37" s="829"/>
      <c r="D37" s="829"/>
      <c r="E37" s="829"/>
      <c r="F37" s="827"/>
      <c r="G37" s="827"/>
      <c r="H37" s="827"/>
      <c r="I37" s="827"/>
      <c r="J37" s="827"/>
      <c r="K37" s="827"/>
      <c r="L37" s="827"/>
      <c r="M37" s="827"/>
    </row>
    <row r="38" spans="1:13">
      <c r="A38" s="827"/>
      <c r="B38" s="829"/>
      <c r="C38" s="829"/>
      <c r="D38" s="829"/>
      <c r="E38" s="829"/>
      <c r="F38" s="827"/>
      <c r="G38" s="827"/>
      <c r="H38" s="827"/>
      <c r="I38" s="827"/>
      <c r="J38" s="827"/>
      <c r="K38" s="827"/>
      <c r="L38" s="827"/>
      <c r="M38" s="827"/>
    </row>
    <row r="39" spans="1:13">
      <c r="A39" s="827"/>
      <c r="B39" s="829"/>
      <c r="C39" s="829"/>
      <c r="D39" s="829"/>
      <c r="E39" s="829"/>
      <c r="F39" s="827"/>
      <c r="G39" s="827"/>
      <c r="H39" s="827"/>
      <c r="I39" s="827"/>
      <c r="J39" s="827"/>
      <c r="K39" s="827"/>
      <c r="L39" s="827"/>
      <c r="M39" s="827"/>
    </row>
    <row r="40" spans="1:13">
      <c r="A40" s="827"/>
      <c r="B40" s="829"/>
      <c r="C40" s="829"/>
      <c r="D40" s="829"/>
      <c r="E40" s="829"/>
      <c r="F40" s="827"/>
      <c r="G40" s="827"/>
      <c r="H40" s="827"/>
      <c r="I40" s="827"/>
      <c r="J40" s="827"/>
      <c r="K40" s="827"/>
      <c r="L40" s="827"/>
      <c r="M40" s="827"/>
    </row>
    <row r="41" spans="1:13">
      <c r="A41" s="827"/>
      <c r="B41" s="829"/>
      <c r="C41" s="829"/>
      <c r="D41" s="829"/>
      <c r="E41" s="829"/>
      <c r="F41" s="827"/>
      <c r="G41" s="827"/>
      <c r="H41" s="827"/>
      <c r="I41" s="827"/>
      <c r="J41" s="827"/>
      <c r="K41" s="827"/>
      <c r="L41" s="827"/>
      <c r="M41" s="827"/>
    </row>
    <row r="42" spans="1:13">
      <c r="A42" s="827"/>
      <c r="B42" s="829"/>
      <c r="C42" s="829"/>
      <c r="D42" s="829"/>
      <c r="E42" s="829"/>
      <c r="F42" s="827"/>
      <c r="G42" s="827"/>
      <c r="H42" s="827"/>
      <c r="I42" s="827"/>
      <c r="J42" s="827"/>
      <c r="K42" s="827"/>
      <c r="L42" s="827"/>
      <c r="M42" s="827"/>
    </row>
    <row r="43" spans="1:13">
      <c r="A43" s="827"/>
      <c r="B43" s="829"/>
      <c r="C43" s="829"/>
      <c r="D43" s="829"/>
      <c r="E43" s="829"/>
      <c r="F43" s="827"/>
      <c r="G43" s="827"/>
      <c r="H43" s="827"/>
      <c r="I43" s="827"/>
      <c r="J43" s="827"/>
      <c r="K43" s="827"/>
      <c r="L43" s="827"/>
      <c r="M43" s="827"/>
    </row>
    <row r="44" spans="1:13">
      <c r="A44" s="827"/>
      <c r="B44" s="829"/>
      <c r="C44" s="829"/>
      <c r="D44" s="829"/>
      <c r="E44" s="829"/>
      <c r="F44" s="827"/>
      <c r="G44" s="827"/>
      <c r="H44" s="827"/>
      <c r="I44" s="827"/>
      <c r="J44" s="827"/>
      <c r="K44" s="827"/>
      <c r="L44" s="827"/>
      <c r="M44" s="827"/>
    </row>
    <row r="45" spans="1:13">
      <c r="A45" s="827"/>
      <c r="B45" s="829"/>
      <c r="C45" s="829"/>
      <c r="D45" s="829"/>
      <c r="E45" s="829"/>
      <c r="F45" s="827"/>
      <c r="G45" s="827"/>
      <c r="H45" s="827"/>
      <c r="I45" s="827"/>
      <c r="J45" s="827"/>
      <c r="K45" s="827"/>
      <c r="L45" s="827"/>
      <c r="M45" s="827"/>
    </row>
    <row r="46" spans="1:13">
      <c r="A46" s="827"/>
      <c r="B46" s="829"/>
      <c r="C46" s="829"/>
      <c r="D46" s="829"/>
      <c r="E46" s="829"/>
      <c r="F46" s="827"/>
      <c r="G46" s="827"/>
      <c r="H46" s="827"/>
      <c r="I46" s="827"/>
      <c r="J46" s="827"/>
      <c r="K46" s="827"/>
      <c r="L46" s="827"/>
      <c r="M46" s="827"/>
    </row>
    <row r="47" spans="1:13">
      <c r="A47" s="827"/>
      <c r="B47" s="829"/>
      <c r="C47" s="829"/>
      <c r="D47" s="829"/>
      <c r="E47" s="829"/>
      <c r="F47" s="827"/>
      <c r="G47" s="827"/>
      <c r="H47" s="827"/>
      <c r="I47" s="827"/>
      <c r="J47" s="827"/>
    </row>
    <row r="48" spans="1:13">
      <c r="A48" s="827"/>
      <c r="B48" s="829"/>
      <c r="C48" s="829"/>
      <c r="D48" s="829"/>
      <c r="E48" s="829"/>
      <c r="F48" s="827"/>
      <c r="G48" s="827"/>
      <c r="H48" s="827"/>
      <c r="I48" s="827"/>
      <c r="J48" s="827"/>
    </row>
    <row r="49" spans="1:10">
      <c r="A49" s="827"/>
      <c r="B49" s="829"/>
      <c r="C49" s="829"/>
      <c r="D49" s="829"/>
      <c r="E49" s="829"/>
      <c r="F49" s="827"/>
      <c r="G49" s="827"/>
      <c r="H49" s="827"/>
      <c r="I49" s="827"/>
      <c r="J49" s="827"/>
    </row>
    <row r="50" spans="1:10">
      <c r="A50" s="827"/>
      <c r="B50" s="829"/>
      <c r="C50" s="829"/>
      <c r="D50" s="829"/>
      <c r="E50" s="829"/>
      <c r="F50" s="827"/>
      <c r="G50" s="827"/>
      <c r="H50" s="827"/>
      <c r="I50" s="827"/>
      <c r="J50" s="827"/>
    </row>
    <row r="51" spans="1:10">
      <c r="A51" s="827"/>
      <c r="B51" s="829"/>
      <c r="C51" s="829"/>
      <c r="D51" s="829"/>
      <c r="E51" s="829"/>
      <c r="F51" s="827"/>
      <c r="G51" s="827"/>
      <c r="H51" s="827"/>
      <c r="I51" s="827"/>
      <c r="J51" s="827"/>
    </row>
    <row r="52" spans="1:10">
      <c r="A52" s="827"/>
      <c r="B52" s="829"/>
      <c r="C52" s="829"/>
      <c r="D52" s="829"/>
      <c r="E52" s="829"/>
      <c r="F52" s="827"/>
      <c r="G52" s="827"/>
      <c r="H52" s="827"/>
      <c r="I52" s="827"/>
      <c r="J52" s="827"/>
    </row>
    <row r="53" spans="1:10">
      <c r="A53" s="827"/>
      <c r="B53" s="827"/>
      <c r="C53" s="827"/>
      <c r="D53" s="827"/>
      <c r="E53" s="827"/>
      <c r="F53" s="827"/>
      <c r="G53" s="827"/>
      <c r="H53" s="827"/>
      <c r="I53" s="827"/>
      <c r="J53" s="827"/>
    </row>
    <row r="54" spans="1:10">
      <c r="A54" s="827"/>
      <c r="B54" s="827"/>
      <c r="C54" s="827"/>
      <c r="D54" s="827"/>
      <c r="E54" s="827"/>
      <c r="F54" s="827"/>
      <c r="G54" s="827"/>
      <c r="H54" s="827"/>
      <c r="I54" s="827"/>
      <c r="J54" s="827"/>
    </row>
    <row r="55" spans="1:10">
      <c r="A55" s="827"/>
      <c r="B55" s="827"/>
      <c r="C55" s="827"/>
      <c r="D55" s="827"/>
      <c r="E55" s="827"/>
      <c r="F55" s="827"/>
      <c r="G55" s="827"/>
      <c r="H55" s="827"/>
      <c r="I55" s="827"/>
      <c r="J55" s="827"/>
    </row>
    <row r="56" spans="1:10">
      <c r="A56" s="827"/>
      <c r="B56" s="827"/>
      <c r="C56" s="827"/>
      <c r="D56" s="827"/>
      <c r="E56" s="827"/>
      <c r="F56" s="827"/>
      <c r="G56" s="827"/>
      <c r="H56" s="827"/>
      <c r="I56" s="827"/>
      <c r="J56" s="827"/>
    </row>
    <row r="57" spans="1:10">
      <c r="A57" s="827"/>
      <c r="B57" s="827"/>
      <c r="C57" s="827"/>
      <c r="D57" s="827"/>
      <c r="E57" s="827"/>
      <c r="F57" s="827"/>
      <c r="G57" s="827"/>
      <c r="H57" s="827"/>
      <c r="I57" s="827"/>
      <c r="J57" s="827"/>
    </row>
    <row r="58" spans="1:10">
      <c r="A58" s="827"/>
      <c r="B58" s="827"/>
      <c r="C58" s="827"/>
      <c r="D58" s="827"/>
      <c r="E58" s="827"/>
      <c r="F58" s="827"/>
      <c r="G58" s="827"/>
      <c r="H58" s="827"/>
      <c r="I58" s="827"/>
      <c r="J58" s="827"/>
    </row>
    <row r="59" spans="1:10">
      <c r="A59" s="827"/>
      <c r="B59" s="827"/>
      <c r="C59" s="827"/>
      <c r="D59" s="827"/>
      <c r="E59" s="827"/>
      <c r="F59" s="827"/>
      <c r="G59" s="827"/>
      <c r="H59" s="827"/>
      <c r="I59" s="827"/>
      <c r="J59" s="827"/>
    </row>
    <row r="60" spans="1:10">
      <c r="A60" s="827"/>
      <c r="B60" s="827"/>
      <c r="C60" s="827"/>
      <c r="D60" s="827"/>
      <c r="E60" s="827"/>
      <c r="F60" s="827"/>
      <c r="G60" s="827"/>
      <c r="H60" s="827"/>
      <c r="I60" s="827"/>
      <c r="J60" s="827"/>
    </row>
    <row r="61" spans="1:10">
      <c r="A61" s="827"/>
      <c r="B61" s="827"/>
      <c r="C61" s="827"/>
      <c r="D61" s="827"/>
      <c r="E61" s="827"/>
      <c r="F61" s="827"/>
      <c r="G61" s="827"/>
      <c r="H61" s="827"/>
      <c r="I61" s="827"/>
      <c r="J61" s="827"/>
    </row>
    <row r="62" spans="1:10">
      <c r="A62" s="827"/>
      <c r="B62" s="827"/>
      <c r="C62" s="827"/>
      <c r="D62" s="827"/>
      <c r="E62" s="827"/>
      <c r="F62" s="827"/>
      <c r="G62" s="827"/>
      <c r="H62" s="827"/>
      <c r="I62" s="827"/>
      <c r="J62" s="827"/>
    </row>
    <row r="63" spans="1:10">
      <c r="A63" s="827"/>
      <c r="B63" s="827"/>
      <c r="C63" s="827"/>
      <c r="D63" s="827"/>
      <c r="E63" s="827"/>
      <c r="F63" s="827"/>
      <c r="G63" s="827"/>
      <c r="H63" s="827"/>
      <c r="I63" s="827"/>
      <c r="J63" s="827"/>
    </row>
    <row r="64" spans="1:10">
      <c r="A64" s="827"/>
      <c r="B64" s="827"/>
      <c r="C64" s="827"/>
      <c r="D64" s="827"/>
      <c r="E64" s="827"/>
      <c r="F64" s="827"/>
      <c r="G64" s="827"/>
      <c r="H64" s="827"/>
      <c r="I64" s="827"/>
      <c r="J64" s="827"/>
    </row>
    <row r="65" spans="1:10">
      <c r="A65" s="827"/>
      <c r="B65" s="827"/>
      <c r="C65" s="827"/>
      <c r="D65" s="827"/>
      <c r="E65" s="827"/>
      <c r="F65" s="827"/>
      <c r="G65" s="827"/>
      <c r="H65" s="827"/>
      <c r="I65" s="827"/>
      <c r="J65" s="827"/>
    </row>
    <row r="66" spans="1:10">
      <c r="A66" s="827"/>
      <c r="B66" s="827"/>
      <c r="C66" s="827"/>
      <c r="D66" s="827"/>
      <c r="E66" s="827"/>
      <c r="F66" s="827"/>
      <c r="G66" s="827"/>
      <c r="H66" s="827"/>
      <c r="I66" s="827"/>
      <c r="J66" s="827"/>
    </row>
    <row r="67" spans="1:10">
      <c r="A67" s="827"/>
      <c r="B67" s="827"/>
      <c r="C67" s="827"/>
      <c r="D67" s="827"/>
      <c r="E67" s="827"/>
      <c r="F67" s="827"/>
      <c r="G67" s="827"/>
      <c r="H67" s="827"/>
      <c r="I67" s="827"/>
      <c r="J67" s="827"/>
    </row>
    <row r="68" spans="1:10">
      <c r="A68" s="827"/>
      <c r="B68" s="827"/>
      <c r="C68" s="827"/>
      <c r="D68" s="827"/>
      <c r="E68" s="827"/>
      <c r="F68" s="827"/>
      <c r="G68" s="827"/>
      <c r="H68" s="827"/>
      <c r="I68" s="827"/>
      <c r="J68" s="827"/>
    </row>
    <row r="69" spans="1:10">
      <c r="A69" s="827"/>
      <c r="B69" s="827"/>
      <c r="C69" s="827"/>
      <c r="D69" s="827"/>
      <c r="E69" s="827"/>
      <c r="F69" s="827"/>
      <c r="G69" s="827"/>
      <c r="H69" s="827"/>
      <c r="I69" s="827"/>
      <c r="J69" s="827"/>
    </row>
    <row r="70" spans="1:10">
      <c r="A70" s="827"/>
      <c r="B70" s="827"/>
      <c r="C70" s="827"/>
      <c r="D70" s="827"/>
      <c r="E70" s="827"/>
      <c r="F70" s="827"/>
      <c r="G70" s="827"/>
      <c r="H70" s="827"/>
      <c r="I70" s="827"/>
      <c r="J70" s="827"/>
    </row>
    <row r="71" spans="1:10">
      <c r="A71" s="827"/>
      <c r="B71" s="827"/>
      <c r="C71" s="827"/>
      <c r="D71" s="827"/>
      <c r="E71" s="827"/>
      <c r="F71" s="827"/>
      <c r="G71" s="827"/>
      <c r="H71" s="827"/>
      <c r="I71" s="827"/>
      <c r="J71" s="827"/>
    </row>
    <row r="72" spans="1:10">
      <c r="A72" s="827"/>
      <c r="B72" s="827"/>
      <c r="C72" s="827"/>
      <c r="D72" s="827"/>
      <c r="E72" s="827"/>
      <c r="F72" s="827"/>
      <c r="G72" s="827"/>
      <c r="H72" s="827"/>
      <c r="I72" s="827"/>
      <c r="J72" s="827"/>
    </row>
    <row r="73" spans="1:10">
      <c r="A73" s="827"/>
      <c r="B73" s="827"/>
      <c r="C73" s="827"/>
      <c r="D73" s="827"/>
      <c r="E73" s="827"/>
      <c r="F73" s="827"/>
      <c r="G73" s="827"/>
      <c r="H73" s="827"/>
      <c r="I73" s="827"/>
      <c r="J73" s="827"/>
    </row>
    <row r="74" spans="1:10">
      <c r="A74" s="827"/>
      <c r="B74" s="827"/>
      <c r="C74" s="827"/>
      <c r="D74" s="827"/>
      <c r="E74" s="827"/>
      <c r="F74" s="827"/>
      <c r="G74" s="827"/>
      <c r="H74" s="827"/>
      <c r="I74" s="827"/>
      <c r="J74" s="827"/>
    </row>
    <row r="75" spans="1:10">
      <c r="A75" s="827"/>
      <c r="B75" s="827"/>
      <c r="C75" s="827"/>
      <c r="D75" s="827"/>
      <c r="E75" s="827"/>
      <c r="F75" s="827"/>
      <c r="G75" s="827"/>
      <c r="H75" s="827"/>
      <c r="I75" s="827"/>
      <c r="J75" s="827"/>
    </row>
    <row r="76" spans="1:10">
      <c r="A76" s="827"/>
      <c r="B76" s="827"/>
      <c r="C76" s="827"/>
      <c r="D76" s="827"/>
      <c r="E76" s="827"/>
      <c r="F76" s="827"/>
      <c r="G76" s="827"/>
      <c r="H76" s="827"/>
      <c r="I76" s="827"/>
      <c r="J76" s="827"/>
    </row>
    <row r="77" spans="1:10">
      <c r="A77" s="827"/>
      <c r="B77" s="827"/>
      <c r="C77" s="827"/>
      <c r="D77" s="827"/>
      <c r="E77" s="827"/>
      <c r="F77" s="827"/>
      <c r="G77" s="827"/>
      <c r="H77" s="827"/>
      <c r="I77" s="827"/>
      <c r="J77" s="827"/>
    </row>
    <row r="78" spans="1:10">
      <c r="A78" s="827"/>
      <c r="B78" s="827"/>
      <c r="C78" s="827"/>
      <c r="D78" s="827"/>
      <c r="E78" s="827"/>
      <c r="F78" s="827"/>
      <c r="G78" s="827"/>
      <c r="H78" s="827"/>
      <c r="I78" s="827"/>
      <c r="J78" s="827"/>
    </row>
    <row r="79" spans="1:10">
      <c r="A79" s="827"/>
      <c r="B79" s="827"/>
      <c r="C79" s="827"/>
      <c r="D79" s="827"/>
      <c r="E79" s="827"/>
      <c r="F79" s="827"/>
      <c r="G79" s="827"/>
      <c r="H79" s="827"/>
      <c r="I79" s="827"/>
      <c r="J79" s="827"/>
    </row>
    <row r="80" spans="1:10">
      <c r="A80" s="827"/>
      <c r="B80" s="827"/>
      <c r="C80" s="827"/>
      <c r="D80" s="827"/>
      <c r="E80" s="827"/>
      <c r="F80" s="827"/>
      <c r="G80" s="827"/>
      <c r="H80" s="827"/>
      <c r="I80" s="827"/>
      <c r="J80" s="827"/>
    </row>
    <row r="81" spans="1:10">
      <c r="A81" s="827"/>
      <c r="B81" s="827"/>
      <c r="C81" s="827"/>
      <c r="D81" s="827"/>
      <c r="E81" s="827"/>
      <c r="F81" s="827"/>
      <c r="G81" s="827"/>
      <c r="H81" s="827"/>
      <c r="I81" s="827"/>
      <c r="J81" s="827"/>
    </row>
    <row r="82" spans="1:10">
      <c r="A82" s="827"/>
      <c r="B82" s="827"/>
      <c r="C82" s="827"/>
      <c r="D82" s="827"/>
      <c r="E82" s="827"/>
      <c r="F82" s="827"/>
      <c r="G82" s="827"/>
      <c r="H82" s="827"/>
      <c r="I82" s="827"/>
      <c r="J82" s="827"/>
    </row>
    <row r="83" spans="1:10">
      <c r="A83" s="827"/>
      <c r="B83" s="827"/>
      <c r="C83" s="827"/>
      <c r="D83" s="827"/>
      <c r="E83" s="827"/>
      <c r="F83" s="827"/>
      <c r="G83" s="827"/>
      <c r="H83" s="827"/>
      <c r="I83" s="827"/>
      <c r="J83" s="827"/>
    </row>
    <row r="84" spans="1:10">
      <c r="A84" s="827"/>
      <c r="B84" s="827"/>
      <c r="C84" s="827"/>
      <c r="D84" s="827"/>
      <c r="E84" s="827"/>
      <c r="F84" s="827"/>
      <c r="G84" s="827"/>
      <c r="H84" s="827"/>
      <c r="I84" s="827"/>
      <c r="J84" s="827"/>
    </row>
    <row r="85" spans="1:10">
      <c r="A85" s="827"/>
      <c r="B85" s="827"/>
      <c r="C85" s="827"/>
      <c r="D85" s="827"/>
      <c r="E85" s="827"/>
      <c r="F85" s="827"/>
      <c r="G85" s="827"/>
      <c r="H85" s="827"/>
      <c r="I85" s="827"/>
      <c r="J85" s="827"/>
    </row>
    <row r="86" spans="1:10">
      <c r="A86" s="827"/>
      <c r="B86" s="827"/>
      <c r="C86" s="827"/>
      <c r="D86" s="827"/>
      <c r="E86" s="827"/>
      <c r="F86" s="827"/>
      <c r="G86" s="827"/>
      <c r="H86" s="827"/>
      <c r="I86" s="827"/>
      <c r="J86" s="827"/>
    </row>
    <row r="87" spans="1:10">
      <c r="A87" s="827"/>
      <c r="B87" s="827"/>
      <c r="C87" s="827"/>
      <c r="D87" s="827"/>
      <c r="E87" s="827"/>
      <c r="F87" s="827"/>
      <c r="G87" s="827"/>
      <c r="H87" s="827"/>
      <c r="I87" s="827"/>
      <c r="J87" s="827"/>
    </row>
    <row r="88" spans="1:10">
      <c r="A88" s="827"/>
      <c r="B88" s="827"/>
      <c r="C88" s="827"/>
      <c r="D88" s="827"/>
      <c r="E88" s="827"/>
      <c r="F88" s="827"/>
      <c r="G88" s="827"/>
      <c r="H88" s="827"/>
      <c r="I88" s="827"/>
      <c r="J88" s="827"/>
    </row>
    <row r="89" spans="1:10">
      <c r="A89" s="827"/>
      <c r="B89" s="827"/>
      <c r="C89" s="827"/>
      <c r="D89" s="827"/>
      <c r="E89" s="827"/>
      <c r="F89" s="827"/>
      <c r="G89" s="827"/>
      <c r="H89" s="827"/>
      <c r="I89" s="827"/>
      <c r="J89" s="827"/>
    </row>
    <row r="90" spans="1:10">
      <c r="A90" s="827"/>
      <c r="B90" s="827"/>
      <c r="C90" s="827"/>
      <c r="D90" s="827"/>
      <c r="E90" s="827"/>
      <c r="F90" s="827"/>
      <c r="G90" s="827"/>
      <c r="H90" s="827"/>
      <c r="I90" s="827"/>
      <c r="J90" s="827"/>
    </row>
    <row r="91" spans="1:10">
      <c r="A91" s="827"/>
      <c r="B91" s="827"/>
      <c r="C91" s="827"/>
      <c r="D91" s="827"/>
      <c r="E91" s="827"/>
      <c r="F91" s="827"/>
      <c r="G91" s="827"/>
      <c r="H91" s="827"/>
      <c r="I91" s="827"/>
      <c r="J91" s="827"/>
    </row>
    <row r="92" spans="1:10">
      <c r="A92" s="827"/>
      <c r="B92" s="827"/>
      <c r="C92" s="827"/>
      <c r="D92" s="827"/>
      <c r="E92" s="827"/>
      <c r="F92" s="827"/>
      <c r="G92" s="827"/>
      <c r="H92" s="827"/>
      <c r="I92" s="827"/>
      <c r="J92" s="827"/>
    </row>
    <row r="93" spans="1:10">
      <c r="A93" s="827"/>
      <c r="B93" s="827"/>
      <c r="C93" s="827"/>
      <c r="D93" s="827"/>
      <c r="E93" s="827"/>
      <c r="F93" s="827"/>
      <c r="G93" s="827"/>
      <c r="H93" s="827"/>
      <c r="I93" s="827"/>
      <c r="J93" s="827"/>
    </row>
    <row r="94" spans="1:10">
      <c r="A94" s="827"/>
      <c r="B94" s="827"/>
      <c r="C94" s="827"/>
      <c r="D94" s="827"/>
      <c r="E94" s="827"/>
      <c r="F94" s="827"/>
      <c r="G94" s="827"/>
      <c r="H94" s="827"/>
      <c r="I94" s="827"/>
      <c r="J94" s="827"/>
    </row>
    <row r="95" spans="1:10">
      <c r="A95" s="827"/>
      <c r="B95" s="827"/>
      <c r="C95" s="827"/>
      <c r="D95" s="827"/>
      <c r="E95" s="827"/>
      <c r="F95" s="827"/>
      <c r="G95" s="827"/>
      <c r="H95" s="827"/>
      <c r="I95" s="827"/>
      <c r="J95" s="827"/>
    </row>
    <row r="96" spans="1:10">
      <c r="A96" s="827"/>
      <c r="B96" s="827"/>
      <c r="C96" s="827"/>
      <c r="D96" s="827"/>
      <c r="E96" s="827"/>
      <c r="F96" s="827"/>
      <c r="G96" s="827"/>
      <c r="H96" s="827"/>
      <c r="I96" s="827"/>
      <c r="J96" s="827"/>
    </row>
    <row r="97" spans="1:10">
      <c r="A97" s="827"/>
      <c r="B97" s="827"/>
      <c r="C97" s="827"/>
      <c r="D97" s="827"/>
      <c r="E97" s="827"/>
      <c r="F97" s="827"/>
      <c r="G97" s="827"/>
      <c r="H97" s="827"/>
      <c r="I97" s="827"/>
      <c r="J97" s="827"/>
    </row>
    <row r="98" spans="1:10">
      <c r="A98" s="827"/>
      <c r="B98" s="827"/>
      <c r="C98" s="827"/>
      <c r="D98" s="827"/>
      <c r="E98" s="827"/>
      <c r="F98" s="827"/>
      <c r="G98" s="827"/>
      <c r="H98" s="827"/>
      <c r="I98" s="827"/>
      <c r="J98" s="827"/>
    </row>
    <row r="99" spans="1:10">
      <c r="A99" s="827"/>
      <c r="B99" s="827"/>
      <c r="C99" s="827"/>
      <c r="D99" s="827"/>
      <c r="E99" s="827"/>
      <c r="F99" s="827"/>
      <c r="G99" s="827"/>
      <c r="H99" s="827"/>
      <c r="I99" s="827"/>
      <c r="J99" s="827"/>
    </row>
    <row r="100" spans="1:10">
      <c r="A100" s="827"/>
      <c r="B100" s="827"/>
      <c r="C100" s="827"/>
      <c r="D100" s="827"/>
      <c r="E100" s="827"/>
      <c r="F100" s="827"/>
      <c r="G100" s="827"/>
      <c r="H100" s="827"/>
      <c r="I100" s="827"/>
      <c r="J100" s="827"/>
    </row>
    <row r="101" spans="1:10">
      <c r="A101" s="827"/>
      <c r="B101" s="827"/>
      <c r="C101" s="827"/>
      <c r="D101" s="827"/>
      <c r="E101" s="827"/>
      <c r="F101" s="827"/>
      <c r="G101" s="827"/>
      <c r="H101" s="827"/>
      <c r="I101" s="827"/>
      <c r="J101" s="827"/>
    </row>
    <row r="102" spans="1:10">
      <c r="A102" s="827"/>
      <c r="B102" s="827"/>
      <c r="C102" s="827"/>
      <c r="D102" s="827"/>
      <c r="E102" s="827"/>
      <c r="F102" s="827"/>
      <c r="G102" s="827"/>
      <c r="H102" s="827"/>
      <c r="I102" s="827"/>
      <c r="J102" s="827"/>
    </row>
    <row r="103" spans="1:10">
      <c r="A103" s="827"/>
      <c r="B103" s="827"/>
      <c r="C103" s="827"/>
      <c r="D103" s="827"/>
      <c r="E103" s="827"/>
      <c r="F103" s="827"/>
      <c r="G103" s="827"/>
      <c r="H103" s="827"/>
      <c r="I103" s="827"/>
      <c r="J103" s="827"/>
    </row>
    <row r="104" spans="1:10">
      <c r="A104" s="827"/>
      <c r="B104" s="827"/>
      <c r="C104" s="827"/>
      <c r="D104" s="827"/>
      <c r="E104" s="827"/>
      <c r="F104" s="827"/>
      <c r="G104" s="827"/>
      <c r="H104" s="827"/>
      <c r="I104" s="827"/>
      <c r="J104" s="827"/>
    </row>
    <row r="105" spans="1:10">
      <c r="A105" s="827"/>
      <c r="B105" s="827"/>
      <c r="C105" s="827"/>
      <c r="D105" s="827"/>
      <c r="E105" s="827"/>
      <c r="F105" s="827"/>
      <c r="G105" s="827"/>
      <c r="H105" s="827"/>
      <c r="I105" s="827"/>
      <c r="J105" s="827"/>
    </row>
    <row r="106" spans="1:10">
      <c r="A106" s="827"/>
      <c r="B106" s="827"/>
      <c r="C106" s="827"/>
      <c r="D106" s="827"/>
      <c r="E106" s="827"/>
      <c r="F106" s="827"/>
      <c r="G106" s="827"/>
      <c r="H106" s="827"/>
      <c r="I106" s="827"/>
      <c r="J106" s="827"/>
    </row>
    <row r="107" spans="1:10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</row>
    <row r="108" spans="1:10">
      <c r="A108" s="827"/>
      <c r="B108" s="827"/>
      <c r="C108" s="827"/>
      <c r="D108" s="827"/>
      <c r="E108" s="827"/>
      <c r="F108" s="827"/>
      <c r="G108" s="827"/>
      <c r="H108" s="827"/>
      <c r="I108" s="827"/>
      <c r="J108" s="827"/>
    </row>
    <row r="109" spans="1:10">
      <c r="A109" s="827"/>
      <c r="B109" s="827"/>
      <c r="C109" s="827"/>
      <c r="D109" s="827"/>
      <c r="E109" s="827"/>
      <c r="F109" s="827"/>
      <c r="G109" s="827"/>
      <c r="H109" s="827"/>
      <c r="I109" s="827"/>
      <c r="J109" s="827"/>
    </row>
    <row r="110" spans="1:10">
      <c r="A110" s="827"/>
      <c r="B110" s="827"/>
      <c r="C110" s="827"/>
      <c r="D110" s="827"/>
      <c r="E110" s="827"/>
      <c r="F110" s="827"/>
      <c r="G110" s="827"/>
      <c r="H110" s="827"/>
      <c r="I110" s="827"/>
      <c r="J110" s="827"/>
    </row>
    <row r="111" spans="1:10">
      <c r="A111" s="827"/>
      <c r="B111" s="827"/>
      <c r="C111" s="827"/>
      <c r="D111" s="827"/>
      <c r="E111" s="827"/>
      <c r="F111" s="827"/>
      <c r="G111" s="827"/>
      <c r="H111" s="827"/>
      <c r="I111" s="827"/>
      <c r="J111" s="827"/>
    </row>
    <row r="112" spans="1:10">
      <c r="A112" s="827"/>
      <c r="B112" s="827"/>
      <c r="C112" s="827"/>
      <c r="D112" s="827"/>
      <c r="E112" s="827"/>
      <c r="F112" s="827"/>
      <c r="G112" s="827"/>
      <c r="H112" s="827"/>
      <c r="I112" s="827"/>
      <c r="J112" s="827"/>
    </row>
    <row r="113" spans="1:10">
      <c r="A113" s="827"/>
      <c r="B113" s="827"/>
      <c r="C113" s="827"/>
      <c r="D113" s="827"/>
      <c r="E113" s="827"/>
      <c r="F113" s="827"/>
      <c r="G113" s="827"/>
      <c r="H113" s="827"/>
      <c r="I113" s="827"/>
      <c r="J113" s="827"/>
    </row>
    <row r="114" spans="1:10">
      <c r="A114" s="827"/>
      <c r="B114" s="827"/>
      <c r="C114" s="827"/>
      <c r="D114" s="827"/>
      <c r="E114" s="827"/>
      <c r="F114" s="827"/>
      <c r="G114" s="827"/>
      <c r="H114" s="827"/>
      <c r="I114" s="827"/>
      <c r="J114" s="827"/>
    </row>
    <row r="115" spans="1:10">
      <c r="A115" s="827"/>
      <c r="B115" s="827"/>
      <c r="C115" s="827"/>
      <c r="D115" s="827"/>
      <c r="E115" s="827"/>
      <c r="F115" s="827"/>
      <c r="G115" s="827"/>
      <c r="H115" s="827"/>
      <c r="I115" s="827"/>
      <c r="J115" s="827"/>
    </row>
  </sheetData>
  <customSheetViews>
    <customSheetView guid="{D358E58B-5EA6-4EB2-8562-4D9FEBA8EA54}" showRuler="0">
      <selection activeCell="F9" sqref="F9"/>
      <pageMargins left="0.75" right="0.75" top="1" bottom="1" header="0.5" footer="0.5"/>
      <pageSetup orientation="portrait" r:id="rId1"/>
      <headerFooter alignWithMargins="0"/>
    </customSheetView>
    <customSheetView guid="{DD70B4E1-CC64-4568-BFD6-83390A7B0268}" showRuler="0">
      <selection activeCell="F9" sqref="F9"/>
      <pageMargins left="0.75" right="0.75" top="1" bottom="1" header="0.5" footer="0.5"/>
      <pageSetup orientation="portrait" r:id="rId2"/>
      <headerFooter alignWithMargins="0"/>
    </customSheetView>
    <customSheetView guid="{1E64D771-8C52-4EFE-8F0D-67326F432767}" showRuler="0">
      <selection activeCell="F9" sqref="F9"/>
      <pageMargins left="0.75" right="0.75" top="1" bottom="1" header="0.5" footer="0.5"/>
      <pageSetup orientation="portrait" r:id="rId3"/>
      <headerFooter alignWithMargins="0"/>
    </customSheetView>
    <customSheetView guid="{8920654A-B782-40BF-9A51-A43F20A27C02}" showRuler="0">
      <selection activeCell="F9" sqref="F9"/>
      <pageMargins left="0.75" right="0.75" top="1" bottom="1" header="0.5" footer="0.5"/>
      <pageSetup orientation="portrait" r:id="rId4"/>
      <headerFooter alignWithMargins="0"/>
    </customSheetView>
    <customSheetView guid="{F985D028-064A-46CA-9D34-E4E9B88A9B3C}" showRuler="0">
      <selection activeCell="F9" sqref="F9"/>
      <pageMargins left="0.75" right="0.75" top="1" bottom="1" header="0.5" footer="0.5"/>
      <pageSetup orientation="portrait" r:id="rId5"/>
      <headerFooter alignWithMargins="0"/>
    </customSheetView>
    <customSheetView guid="{CD5012F4-E6A6-495E-BF90-5F6D9EE7AF29}" showRuler="0">
      <selection activeCell="F9" sqref="F9"/>
      <pageMargins left="0.75" right="0.75" top="1" bottom="1" header="0.5" footer="0.5"/>
      <pageSetup orientation="portrait" r:id="rId6"/>
      <headerFooter alignWithMargins="0"/>
    </customSheetView>
    <customSheetView guid="{14262664-129C-4E9B-8245-4B43AF19E33A}" showRuler="0">
      <selection activeCell="F9" sqref="F9"/>
      <pageMargins left="0.75" right="0.75" top="1" bottom="1" header="0.5" footer="0.5"/>
      <pageSetup orientation="portrait" r:id="rId7"/>
      <headerFooter alignWithMargins="0"/>
    </customSheetView>
    <customSheetView guid="{8E7EA697-A1C1-4FA5-9CC7-93304413A154}" showRuler="0">
      <selection activeCell="F9" sqref="F9"/>
      <pageMargins left="0.75" right="0.75" top="1" bottom="1" header="0.5" footer="0.5"/>
      <pageSetup orientation="portrait" r:id="rId8"/>
      <headerFooter alignWithMargins="0"/>
    </customSheetView>
    <customSheetView guid="{F531E925-9E0B-409C-9EAA-ADCDD51D6BA7}" showRuler="0">
      <selection activeCell="F9" sqref="F9"/>
      <pageMargins left="0.75" right="0.75" top="1" bottom="1" header="0.5" footer="0.5"/>
      <pageSetup orientation="portrait" r:id="rId9"/>
      <headerFooter alignWithMargins="0"/>
    </customSheetView>
    <customSheetView guid="{4840C72E-33E7-45CF-A897-030BC56F6B90}" showRuler="0">
      <selection activeCell="F9" sqref="F9"/>
      <pageMargins left="0.75" right="0.75" top="1" bottom="1" header="0.5" footer="0.5"/>
      <pageSetup orientation="portrait" r:id="rId10"/>
      <headerFooter alignWithMargins="0"/>
    </customSheetView>
    <customSheetView guid="{40B7FB48-DAE3-4682-852F-AC0650D2BE14}" showRuler="0">
      <selection activeCell="F9" sqref="F9"/>
      <pageMargins left="0.75" right="0.75" top="1" bottom="1" header="0.5" footer="0.5"/>
      <pageSetup orientation="portrait" r:id="rId11"/>
      <headerFooter alignWithMargins="0"/>
    </customSheetView>
    <customSheetView guid="{A3FBC4C2-6ECB-480C-89DD-35506B048870}" showRuler="0">
      <selection activeCell="F9" sqref="F9"/>
      <pageMargins left="0.75" right="0.75" top="1" bottom="1" header="0.5" footer="0.5"/>
      <pageSetup orientation="portrait" r:id="rId12"/>
      <headerFooter alignWithMargins="0"/>
    </customSheetView>
    <customSheetView guid="{EDF3DC03-FBB9-4397-9335-6FA548B9B5CD}" showRuler="0">
      <selection activeCell="F9" sqref="F9"/>
      <pageMargins left="0.75" right="0.75" top="1" bottom="1" header="0.5" footer="0.5"/>
      <pageSetup orientation="portrait" r:id="rId13"/>
      <headerFooter alignWithMargins="0"/>
    </customSheetView>
    <customSheetView guid="{605C023E-A5C7-400F-9AAA-827B8FDB13A8}" showRuler="0">
      <selection activeCell="F9" sqref="F9"/>
      <pageMargins left="0.75" right="0.75" top="1" bottom="1" header="0.5" footer="0.5"/>
      <pageSetup orientation="portrait" r:id="rId14"/>
      <headerFooter alignWithMargins="0"/>
    </customSheetView>
    <customSheetView guid="{3DB8EC99-BD55-4ABF-B71E-F70797B0173C}" showRuler="0">
      <selection activeCell="F9" sqref="F9"/>
      <pageMargins left="0.75" right="0.75" top="1" bottom="1" header="0.5" footer="0.5"/>
      <pageSetup orientation="portrait" r:id="rId15"/>
      <headerFooter alignWithMargins="0"/>
    </customSheetView>
    <customSheetView guid="{62EE4FB2-B9F8-4C5D-BC5C-181361F6DD86}" showRuler="0">
      <selection activeCell="F9" sqref="F9"/>
      <pageMargins left="0.75" right="0.75" top="1" bottom="1" header="0.5" footer="0.5"/>
      <pageSetup orientation="portrait" r:id="rId16"/>
      <headerFooter alignWithMargins="0"/>
    </customSheetView>
    <customSheetView guid="{BBEC464C-25F9-4835-BB05-13062D5DEAC1}" showRuler="0">
      <selection activeCell="F9" sqref="F9"/>
      <pageMargins left="0.75" right="0.75" top="1" bottom="1" header="0.5" footer="0.5"/>
      <pageSetup orientation="portrait" r:id="rId17"/>
      <headerFooter alignWithMargins="0"/>
    </customSheetView>
    <customSheetView guid="{88A240CE-F5A6-4995-A526-0E22BADCFF6D}" showRuler="0">
      <selection activeCell="F9" sqref="F9"/>
      <pageMargins left="0.75" right="0.75" top="1" bottom="1" header="0.5" footer="0.5"/>
      <pageSetup orientation="portrait" r:id="rId18"/>
      <headerFooter alignWithMargins="0"/>
    </customSheetView>
    <customSheetView guid="{3834E606-B28A-4696-9192-7BDA898195A1}" showRuler="0">
      <selection activeCell="F9" sqref="F9"/>
      <pageMargins left="0.75" right="0.75" top="1" bottom="1" header="0.5" footer="0.5"/>
      <pageSetup orientation="portrait" r:id="rId19"/>
      <headerFooter alignWithMargins="0"/>
    </customSheetView>
    <customSheetView guid="{D564613F-7CF3-40DE-8CDA-0C25C1F35855}" showRuler="0">
      <selection activeCell="F9" sqref="F9"/>
      <pageMargins left="0.75" right="0.75" top="1" bottom="1" header="0.5" footer="0.5"/>
      <pageSetup orientation="portrait" r:id="rId20"/>
      <headerFooter alignWithMargins="0"/>
    </customSheetView>
    <customSheetView guid="{BA39091D-C7FC-45D0-82A3-5E4EAAFABA5A}" showRuler="0">
      <selection activeCell="F9" sqref="F9"/>
      <pageMargins left="0.75" right="0.75" top="1" bottom="1" header="0.5" footer="0.5"/>
      <pageSetup orientation="portrait" r:id="rId21"/>
      <headerFooter alignWithMargins="0"/>
    </customSheetView>
    <customSheetView guid="{3797879C-3298-4122-A12D-3DFD0284FBDD}" showRuler="0">
      <selection activeCell="F9" sqref="F9"/>
      <pageMargins left="0.75" right="0.75" top="1" bottom="1" header="0.5" footer="0.5"/>
      <pageSetup orientation="portrait" r:id="rId22"/>
      <headerFooter alignWithMargins="0"/>
    </customSheetView>
    <customSheetView guid="{46E5C546-9AEA-4E06-B017-805B7E255C92}" showRuler="0">
      <selection activeCell="F9" sqref="F9"/>
      <pageMargins left="0.75" right="0.75" top="1" bottom="1" header="0.5" footer="0.5"/>
      <pageSetup orientation="portrait" r:id="rId23"/>
      <headerFooter alignWithMargins="0"/>
    </customSheetView>
    <customSheetView guid="{813D7A4F-EDF6-49ED-B8FD-B74D0B9276AB}" showRuler="0">
      <selection activeCell="F9" sqref="F9"/>
      <pageMargins left="0.75" right="0.75" top="1" bottom="1" header="0.5" footer="0.5"/>
      <pageSetup orientation="portrait" r:id="rId24"/>
      <headerFooter alignWithMargins="0"/>
    </customSheetView>
    <customSheetView guid="{28C5A156-92F3-4234-9C7A-A32D75F798CC}" showRuler="0">
      <selection activeCell="F9" sqref="F9"/>
      <pageMargins left="0.75" right="0.75" top="1" bottom="1" header="0.5" footer="0.5"/>
      <pageSetup orientation="portrait" r:id="rId25"/>
      <headerFooter alignWithMargins="0"/>
    </customSheetView>
    <customSheetView guid="{E98B4028-3602-46AA-8C00-41FD8ABF8836}" showRuler="0">
      <selection activeCell="F9" sqref="F9"/>
      <pageMargins left="0.75" right="0.75" top="1" bottom="1" header="0.5" footer="0.5"/>
      <pageSetup orientation="portrait" r:id="rId26"/>
      <headerFooter alignWithMargins="0"/>
    </customSheetView>
    <customSheetView guid="{41713566-6DDC-4C14-8259-D9C15B9E45DD}" showRuler="0">
      <selection activeCell="F9" sqref="F9"/>
      <pageMargins left="0.75" right="0.75" top="1" bottom="1" header="0.5" footer="0.5"/>
      <pageSetup orientation="portrait" r:id="rId27"/>
      <headerFooter alignWithMargins="0"/>
    </customSheetView>
    <customSheetView guid="{990691EF-FF43-4000-BCD8-6862D2BAD44A}" showRuler="0">
      <selection activeCell="F9" sqref="F9"/>
      <pageMargins left="0.75" right="0.75" top="1" bottom="1" header="0.5" footer="0.5"/>
      <pageSetup orientation="portrait" r:id="rId28"/>
      <headerFooter alignWithMargins="0"/>
    </customSheetView>
    <customSheetView guid="{17768135-68BF-4539-94C0-50ED7816A698}" showRuler="0">
      <selection activeCell="F9" sqref="F9"/>
      <pageMargins left="0.75" right="0.75" top="1" bottom="1" header="0.5" footer="0.5"/>
      <pageSetup orientation="portrait" r:id="rId29"/>
      <headerFooter alignWithMargins="0"/>
    </customSheetView>
    <customSheetView guid="{DF4E3B04-E442-43A1-A47D-E26F6CE7F11C}" showRuler="0">
      <selection activeCell="F9" sqref="F9"/>
      <pageMargins left="0.75" right="0.75" top="1" bottom="1" header="0.5" footer="0.5"/>
      <pageSetup orientation="portrait" r:id="rId30"/>
      <headerFooter alignWithMargins="0"/>
    </customSheetView>
    <customSheetView guid="{2DBDF3D7-BA4D-404D-AE4B-DFD7008C0411}" showRuler="0">
      <selection activeCell="F9" sqref="F9"/>
      <pageMargins left="0.75" right="0.75" top="1" bottom="1" header="0.5" footer="0.5"/>
      <pageSetup orientation="portrait" r:id="rId31"/>
      <headerFooter alignWithMargins="0"/>
    </customSheetView>
    <customSheetView guid="{423F2953-9177-4482-AE78-C7C47BA8995B}" showRuler="0">
      <selection activeCell="F9" sqref="F9"/>
      <pageMargins left="0.75" right="0.75" top="1" bottom="1" header="0.5" footer="0.5"/>
      <pageSetup orientation="portrait" r:id="rId32"/>
      <headerFooter alignWithMargins="0"/>
    </customSheetView>
    <customSheetView guid="{E2C26153-D457-4603-B564-60CFADB5026B}" showRuler="0">
      <selection activeCell="F9" sqref="F9"/>
      <pageMargins left="0.75" right="0.75" top="1" bottom="1" header="0.5" footer="0.5"/>
      <pageSetup orientation="portrait" r:id="rId33"/>
      <headerFooter alignWithMargins="0"/>
    </customSheetView>
    <customSheetView guid="{C3CE34FF-D7D7-4ECF-B6E1-4700E3130E94}" showRuler="0">
      <selection activeCell="F9" sqref="F9"/>
      <pageMargins left="0.75" right="0.75" top="1" bottom="1" header="0.5" footer="0.5"/>
      <pageSetup orientation="portrait" r:id="rId34"/>
      <headerFooter alignWithMargins="0"/>
    </customSheetView>
    <customSheetView guid="{067119CC-1C61-43DB-B4BB-54397DC63A91}" showRuler="0">
      <selection activeCell="F9" sqref="F9"/>
      <pageMargins left="0.75" right="0.75" top="1" bottom="1" header="0.5" footer="0.5"/>
      <pageSetup orientation="portrait" r:id="rId35"/>
      <headerFooter alignWithMargins="0"/>
    </customSheetView>
    <customSheetView guid="{FEFCE477-944B-4DAC-AD75-686CC83D0F0B}" showRuler="0">
      <selection activeCell="F9" sqref="F9"/>
      <pageMargins left="0.75" right="0.75" top="1" bottom="1" header="0.5" footer="0.5"/>
      <pageSetup orientation="portrait" r:id="rId36"/>
      <headerFooter alignWithMargins="0"/>
    </customSheetView>
    <customSheetView guid="{D034A8AA-A968-4D12-B6AF-09F53E5CD513}" showRuler="0">
      <selection activeCell="F9" sqref="F9"/>
      <pageMargins left="0.75" right="0.75" top="1" bottom="1" header="0.5" footer="0.5"/>
      <pageSetup orientation="portrait" r:id="rId37"/>
      <headerFooter alignWithMargins="0"/>
    </customSheetView>
    <customSheetView guid="{ACABE5FC-E604-45C9-ACB7-53C863CA19F6}" showRuler="0">
      <selection activeCell="F9" sqref="F9"/>
      <pageMargins left="0.75" right="0.75" top="1" bottom="1" header="0.5" footer="0.5"/>
      <pageSetup orientation="portrait" r:id="rId38"/>
      <headerFooter alignWithMargins="0"/>
    </customSheetView>
  </customSheetViews>
  <mergeCells count="1">
    <mergeCell ref="C1:E1"/>
  </mergeCells>
  <phoneticPr fontId="17" type="noConversion"/>
  <pageMargins left="0.5" right="0.5" top="1" bottom="1" header="0.5" footer="0.5"/>
  <pageSetup orientation="portrait" r:id="rId39"/>
  <headerFooter alignWithMargins="0">
    <oddFooter>&amp;LNote:  Amounts presented in bold italic have changed since the Sept 1, 2011  supplemental filing.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A1:J24"/>
  <sheetViews>
    <sheetView workbookViewId="0">
      <selection activeCell="A21" sqref="A21:C21"/>
    </sheetView>
  </sheetViews>
  <sheetFormatPr defaultColWidth="11.5" defaultRowHeight="12.75"/>
  <cols>
    <col min="1" max="1" width="58.5" style="281" customWidth="1"/>
    <col min="2" max="2" width="4.83203125" style="281" bestFit="1" customWidth="1"/>
    <col min="3" max="3" width="21.33203125" style="281" bestFit="1" customWidth="1"/>
    <col min="4" max="4" width="12.6640625" style="281" bestFit="1" customWidth="1"/>
    <col min="5" max="5" width="2.83203125" style="281" customWidth="1"/>
    <col min="6" max="6" width="19.5" style="281" bestFit="1" customWidth="1"/>
    <col min="7" max="7" width="17.1640625" style="281" bestFit="1" customWidth="1"/>
    <col min="8" max="8" width="2.6640625" style="282" bestFit="1" customWidth="1"/>
    <col min="9" max="16384" width="11.5" style="281"/>
  </cols>
  <sheetData>
    <row r="1" spans="1:10">
      <c r="A1" s="336"/>
    </row>
    <row r="2" spans="1:10" s="280" customFormat="1" ht="15.75">
      <c r="A2" s="280" t="s">
        <v>235</v>
      </c>
      <c r="H2" s="283"/>
    </row>
    <row r="3" spans="1:10" s="280" customFormat="1" ht="15.75">
      <c r="A3" s="280" t="s">
        <v>236</v>
      </c>
      <c r="H3" s="283"/>
    </row>
    <row r="6" spans="1:10">
      <c r="A6" s="392"/>
      <c r="B6" s="392"/>
      <c r="C6" s="393" t="s">
        <v>237</v>
      </c>
      <c r="D6" s="513" t="s">
        <v>153</v>
      </c>
      <c r="E6" s="393"/>
    </row>
    <row r="7" spans="1:10" ht="13.5" thickBot="1">
      <c r="A7" s="394"/>
      <c r="B7" s="394"/>
      <c r="C7" s="395" t="s">
        <v>379</v>
      </c>
      <c r="D7" s="478" t="s">
        <v>1085</v>
      </c>
      <c r="E7" s="393"/>
    </row>
    <row r="8" spans="1:10">
      <c r="A8" s="396" t="s">
        <v>238</v>
      </c>
      <c r="B8" s="396"/>
      <c r="C8" s="478" t="s">
        <v>267</v>
      </c>
      <c r="D8" s="482">
        <v>1796220</v>
      </c>
      <c r="E8" s="393"/>
      <c r="I8" s="396"/>
      <c r="J8" s="396"/>
    </row>
    <row r="9" spans="1:10">
      <c r="A9" s="396"/>
      <c r="B9" s="396"/>
      <c r="C9" s="397"/>
      <c r="D9" s="480"/>
      <c r="E9" s="393"/>
      <c r="I9" s="396"/>
      <c r="J9" s="396"/>
    </row>
    <row r="10" spans="1:10">
      <c r="A10" s="396" t="s">
        <v>239</v>
      </c>
      <c r="B10" s="396"/>
      <c r="C10" s="478" t="s">
        <v>268</v>
      </c>
      <c r="D10" s="480">
        <v>426032</v>
      </c>
      <c r="E10" s="393" t="s">
        <v>1266</v>
      </c>
      <c r="I10" s="396"/>
      <c r="J10" s="396"/>
    </row>
    <row r="11" spans="1:10">
      <c r="A11" s="396" t="s">
        <v>240</v>
      </c>
      <c r="B11" s="396"/>
      <c r="C11" s="478" t="s">
        <v>1158</v>
      </c>
      <c r="D11" s="480">
        <v>389359</v>
      </c>
      <c r="E11" s="393" t="s">
        <v>1266</v>
      </c>
      <c r="I11" s="396"/>
      <c r="J11" s="396"/>
    </row>
    <row r="12" spans="1:10">
      <c r="A12" s="396" t="s">
        <v>642</v>
      </c>
      <c r="B12" s="396"/>
      <c r="C12" s="398"/>
      <c r="D12" s="480">
        <v>35381</v>
      </c>
      <c r="E12" s="393" t="s">
        <v>426</v>
      </c>
      <c r="I12" s="396"/>
      <c r="J12" s="396"/>
    </row>
    <row r="13" spans="1:10" ht="13.5" thickBot="1">
      <c r="A13" s="396" t="s">
        <v>378</v>
      </c>
      <c r="B13" s="512"/>
      <c r="C13" s="479" t="s">
        <v>1159</v>
      </c>
      <c r="D13" s="543">
        <v>188330</v>
      </c>
      <c r="E13" s="399" t="s">
        <v>1267</v>
      </c>
      <c r="I13" s="396"/>
      <c r="J13" s="396"/>
    </row>
    <row r="14" spans="1:10" ht="13.5" thickBot="1">
      <c r="A14" s="396"/>
      <c r="B14" s="396"/>
      <c r="C14" s="396"/>
      <c r="D14" s="396"/>
      <c r="E14" s="396"/>
      <c r="F14" s="396"/>
      <c r="G14" s="481"/>
      <c r="H14" s="393"/>
      <c r="I14" s="396"/>
      <c r="J14" s="396"/>
    </row>
    <row r="15" spans="1:10">
      <c r="A15" s="400" t="s">
        <v>1028</v>
      </c>
      <c r="B15" s="393">
        <v>30</v>
      </c>
      <c r="C15" s="483">
        <f>D8</f>
        <v>1796220</v>
      </c>
      <c r="D15" s="396"/>
      <c r="E15" s="396"/>
      <c r="F15" s="396"/>
      <c r="G15" s="481"/>
      <c r="H15" s="393"/>
      <c r="I15" s="396"/>
      <c r="J15" s="396"/>
    </row>
    <row r="16" spans="1:10">
      <c r="A16" s="400" t="s">
        <v>239</v>
      </c>
      <c r="B16" s="393" t="s">
        <v>269</v>
      </c>
      <c r="C16" s="484">
        <f>SUM(D10:D11)</f>
        <v>815391</v>
      </c>
      <c r="D16" s="396"/>
      <c r="E16" s="396"/>
      <c r="F16" s="396"/>
      <c r="G16" s="396"/>
      <c r="H16" s="393"/>
      <c r="I16" s="396"/>
      <c r="J16" s="396"/>
    </row>
    <row r="17" spans="1:10">
      <c r="A17" s="400" t="s">
        <v>642</v>
      </c>
      <c r="B17" s="393" t="s">
        <v>426</v>
      </c>
      <c r="C17" s="484">
        <f>D12</f>
        <v>35381</v>
      </c>
      <c r="D17" s="396"/>
      <c r="E17" s="396"/>
      <c r="F17" s="396"/>
      <c r="G17" s="396"/>
      <c r="H17" s="393"/>
      <c r="I17" s="396"/>
      <c r="J17" s="396"/>
    </row>
    <row r="18" spans="1:10">
      <c r="A18" s="400" t="s">
        <v>378</v>
      </c>
      <c r="B18" s="393" t="s">
        <v>1267</v>
      </c>
      <c r="C18" s="485">
        <f>D13</f>
        <v>188330</v>
      </c>
      <c r="D18" s="396"/>
      <c r="E18" s="396"/>
      <c r="F18" s="396"/>
      <c r="G18" s="396"/>
      <c r="H18" s="393"/>
    </row>
    <row r="19" spans="1:10" ht="13.5" thickBot="1">
      <c r="A19" s="396"/>
      <c r="B19" s="396"/>
      <c r="C19" s="486">
        <f>SUM(C15:C18)</f>
        <v>2835322</v>
      </c>
      <c r="D19" s="396"/>
      <c r="E19" s="396"/>
      <c r="F19" s="396"/>
      <c r="G19" s="396"/>
      <c r="H19" s="393"/>
    </row>
    <row r="20" spans="1:10">
      <c r="A20" s="396"/>
      <c r="B20" s="396"/>
      <c r="C20" s="481"/>
      <c r="D20" s="396"/>
      <c r="E20" s="396"/>
      <c r="F20" s="396"/>
      <c r="G20" s="396"/>
      <c r="H20" s="393"/>
    </row>
    <row r="21" spans="1:10" ht="15.75">
      <c r="A21" s="1504" t="s">
        <v>1491</v>
      </c>
      <c r="B21" s="1505"/>
      <c r="C21" s="1505"/>
      <c r="D21" s="396"/>
      <c r="E21" s="396"/>
      <c r="F21" s="396"/>
      <c r="G21" s="396"/>
      <c r="H21" s="393"/>
    </row>
    <row r="22" spans="1:10">
      <c r="A22" s="396"/>
      <c r="B22" s="396"/>
      <c r="C22" s="396"/>
      <c r="D22" s="396"/>
      <c r="E22" s="396"/>
      <c r="F22" s="396"/>
      <c r="G22" s="396"/>
      <c r="H22" s="393"/>
    </row>
    <row r="23" spans="1:10">
      <c r="A23" s="401"/>
      <c r="B23" s="396"/>
      <c r="C23" s="396"/>
      <c r="D23" s="396"/>
      <c r="E23" s="396"/>
      <c r="F23" s="396"/>
      <c r="G23" s="396"/>
      <c r="H23" s="393"/>
    </row>
    <row r="24" spans="1:10">
      <c r="A24" s="396"/>
      <c r="B24" s="396"/>
      <c r="C24" s="396"/>
      <c r="D24" s="396"/>
      <c r="E24" s="396"/>
      <c r="F24" s="396"/>
      <c r="G24" s="396"/>
      <c r="H24" s="393"/>
    </row>
  </sheetData>
  <mergeCells count="1">
    <mergeCell ref="A21:C21"/>
  </mergeCells>
  <phoneticPr fontId="36" type="noConversion"/>
  <pageMargins left="0.75" right="0.75" top="1" bottom="1" header="0.5" footer="0.5"/>
  <pageSetup scale="9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E82"/>
  <sheetViews>
    <sheetView topLeftCell="A39" zoomScaleNormal="100" workbookViewId="0">
      <selection activeCell="B82" sqref="B82:D82"/>
    </sheetView>
  </sheetViews>
  <sheetFormatPr defaultColWidth="10.6640625" defaultRowHeight="12.75"/>
  <cols>
    <col min="1" max="1" width="13.83203125" style="256" customWidth="1"/>
    <col min="2" max="2" width="85.83203125" style="256" customWidth="1"/>
    <col min="3" max="3" width="24" style="256" customWidth="1"/>
    <col min="4" max="4" width="20.6640625" style="256" customWidth="1"/>
    <col min="5" max="5" width="22.5" style="256" customWidth="1"/>
    <col min="6" max="16384" width="10.6640625" style="256"/>
  </cols>
  <sheetData>
    <row r="1" spans="1:5">
      <c r="A1" s="315" t="s">
        <v>1284</v>
      </c>
      <c r="B1" s="316"/>
      <c r="C1" s="316"/>
      <c r="D1" s="316"/>
      <c r="E1" s="316"/>
    </row>
    <row r="2" spans="1:5">
      <c r="A2" s="315" t="s">
        <v>1042</v>
      </c>
      <c r="B2" s="316"/>
      <c r="C2" s="316"/>
      <c r="D2" s="316"/>
      <c r="E2" s="316"/>
    </row>
    <row r="3" spans="1:5">
      <c r="A3" s="315" t="s">
        <v>956</v>
      </c>
      <c r="B3" s="316"/>
      <c r="C3" s="316"/>
      <c r="D3" s="316"/>
      <c r="E3" s="316"/>
    </row>
    <row r="4" spans="1:5">
      <c r="A4" s="318"/>
      <c r="B4" s="318"/>
      <c r="C4" s="318"/>
      <c r="D4" s="318"/>
      <c r="E4" s="318"/>
    </row>
    <row r="5" spans="1:5">
      <c r="A5" s="417" t="s">
        <v>241</v>
      </c>
      <c r="B5" s="418"/>
      <c r="C5" s="418"/>
      <c r="D5" s="418"/>
      <c r="E5" s="418"/>
    </row>
    <row r="6" spans="1:5">
      <c r="A6" s="318"/>
      <c r="B6" s="318"/>
      <c r="C6" s="318"/>
      <c r="D6" s="318"/>
      <c r="E6" s="318"/>
    </row>
    <row r="7" spans="1:5" ht="51">
      <c r="A7" s="319" t="s">
        <v>1043</v>
      </c>
      <c r="B7" s="319" t="s">
        <v>1285</v>
      </c>
      <c r="C7" s="320" t="s">
        <v>957</v>
      </c>
      <c r="D7" s="321" t="s">
        <v>958</v>
      </c>
      <c r="E7" s="321" t="s">
        <v>959</v>
      </c>
    </row>
    <row r="8" spans="1:5">
      <c r="A8" s="318"/>
      <c r="B8" s="318"/>
      <c r="C8" s="318"/>
      <c r="D8" s="318"/>
      <c r="E8" s="318"/>
    </row>
    <row r="9" spans="1:5">
      <c r="A9" s="322" t="s">
        <v>1044</v>
      </c>
      <c r="B9" s="318"/>
      <c r="C9" s="318"/>
      <c r="D9" s="684"/>
      <c r="E9" s="318"/>
    </row>
    <row r="10" spans="1:5">
      <c r="A10" s="323" t="s">
        <v>171</v>
      </c>
      <c r="B10" s="324" t="s">
        <v>1061</v>
      </c>
      <c r="C10" s="563">
        <v>171571683.97999999</v>
      </c>
      <c r="D10" s="685">
        <v>2133057</v>
      </c>
      <c r="E10" s="387">
        <v>-117906790</v>
      </c>
    </row>
    <row r="11" spans="1:5">
      <c r="A11" s="323" t="s">
        <v>173</v>
      </c>
      <c r="B11" s="324" t="s">
        <v>881</v>
      </c>
      <c r="C11" s="563">
        <v>589096149.88374996</v>
      </c>
      <c r="D11" s="685">
        <v>10354907</v>
      </c>
      <c r="E11" s="387">
        <v>-347151084</v>
      </c>
    </row>
    <row r="12" spans="1:5">
      <c r="A12" s="323" t="s">
        <v>882</v>
      </c>
      <c r="B12" s="324" t="s">
        <v>1046</v>
      </c>
      <c r="C12" s="563">
        <v>306600264.09916598</v>
      </c>
      <c r="D12" s="685">
        <v>6192128</v>
      </c>
      <c r="E12" s="387">
        <v>-157407425</v>
      </c>
    </row>
    <row r="13" spans="1:5">
      <c r="A13" s="323" t="s">
        <v>883</v>
      </c>
      <c r="B13" s="324" t="s">
        <v>1047</v>
      </c>
      <c r="C13" s="563">
        <v>43583058.248750001</v>
      </c>
      <c r="D13" s="685">
        <v>624041</v>
      </c>
      <c r="E13" s="387">
        <v>-26681549</v>
      </c>
    </row>
    <row r="14" spans="1:5">
      <c r="A14" s="323" t="s">
        <v>884</v>
      </c>
      <c r="B14" s="324" t="s">
        <v>1048</v>
      </c>
      <c r="C14" s="563">
        <v>16051945.06625</v>
      </c>
      <c r="D14" s="685">
        <v>309286</v>
      </c>
      <c r="E14" s="387">
        <v>-9023426</v>
      </c>
    </row>
    <row r="15" spans="1:5">
      <c r="A15" s="323" t="s">
        <v>859</v>
      </c>
      <c r="B15" s="324" t="s">
        <v>1060</v>
      </c>
      <c r="C15" s="563">
        <v>1127039</v>
      </c>
      <c r="D15" s="685">
        <v>28036</v>
      </c>
      <c r="E15" s="387">
        <v>-742053</v>
      </c>
    </row>
    <row r="16" spans="1:5">
      <c r="A16" s="326"/>
      <c r="B16" s="327" t="s">
        <v>1050</v>
      </c>
      <c r="C16" s="563">
        <f>SUM(C10:C15)</f>
        <v>1128030140.277916</v>
      </c>
      <c r="D16">
        <f>SUM(D10:D15)</f>
        <v>19641455</v>
      </c>
      <c r="E16">
        <f>SUM(E10:E15)</f>
        <v>-658912327</v>
      </c>
    </row>
    <row r="17" spans="1:5">
      <c r="A17" s="323"/>
      <c r="B17" s="324"/>
      <c r="C17" s="1258">
        <v>0</v>
      </c>
      <c r="D17" s="687">
        <v>0</v>
      </c>
      <c r="E17" s="388">
        <v>0</v>
      </c>
    </row>
    <row r="18" spans="1:5">
      <c r="A18" s="323" t="s">
        <v>1051</v>
      </c>
      <c r="B18" s="324" t="s">
        <v>172</v>
      </c>
      <c r="C18" s="563">
        <v>26742034</v>
      </c>
      <c r="D18" s="685">
        <v>521064</v>
      </c>
      <c r="E18" s="387">
        <v>-14178364</v>
      </c>
    </row>
    <row r="19" spans="1:5">
      <c r="A19" s="323" t="s">
        <v>1052</v>
      </c>
      <c r="B19" s="324" t="s">
        <v>1053</v>
      </c>
      <c r="C19" s="563">
        <v>198010877</v>
      </c>
      <c r="D19" s="685">
        <v>4493388</v>
      </c>
      <c r="E19" s="387">
        <v>-107944815</v>
      </c>
    </row>
    <row r="20" spans="1:5">
      <c r="A20" s="323" t="s">
        <v>1054</v>
      </c>
      <c r="B20" s="324" t="s">
        <v>803</v>
      </c>
      <c r="C20" s="563">
        <v>27834324</v>
      </c>
      <c r="D20" s="685">
        <v>586821</v>
      </c>
      <c r="E20" s="387">
        <v>-16992010</v>
      </c>
    </row>
    <row r="21" spans="1:5">
      <c r="A21" s="323" t="s">
        <v>1055</v>
      </c>
      <c r="B21" s="324" t="s">
        <v>1047</v>
      </c>
      <c r="C21" s="563">
        <v>6752216</v>
      </c>
      <c r="D21" s="685">
        <v>162195</v>
      </c>
      <c r="E21" s="387">
        <v>-4713301</v>
      </c>
    </row>
    <row r="22" spans="1:5">
      <c r="A22" s="323" t="s">
        <v>1056</v>
      </c>
      <c r="B22" s="324" t="s">
        <v>1048</v>
      </c>
      <c r="C22" s="563">
        <v>3571103</v>
      </c>
      <c r="D22" s="685">
        <v>215700</v>
      </c>
      <c r="E22" s="387">
        <v>-1953703</v>
      </c>
    </row>
    <row r="23" spans="1:5">
      <c r="A23" s="323" t="s">
        <v>1057</v>
      </c>
      <c r="B23" s="324" t="s">
        <v>983</v>
      </c>
      <c r="C23" s="563">
        <v>3156291</v>
      </c>
      <c r="D23" s="685">
        <v>100409</v>
      </c>
      <c r="E23" s="387">
        <v>-1311882</v>
      </c>
    </row>
    <row r="24" spans="1:5">
      <c r="A24" s="323" t="s">
        <v>984</v>
      </c>
      <c r="B24" s="324" t="s">
        <v>1049</v>
      </c>
      <c r="C24" s="387"/>
      <c r="D24" s="685"/>
      <c r="E24" s="387"/>
    </row>
    <row r="25" spans="1:5">
      <c r="A25" s="323" t="s">
        <v>804</v>
      </c>
      <c r="B25" s="324" t="s">
        <v>152</v>
      </c>
      <c r="C25" s="387"/>
      <c r="D25" s="685"/>
      <c r="E25" s="387"/>
    </row>
    <row r="26" spans="1:5">
      <c r="A26" s="326"/>
      <c r="B26" s="327" t="s">
        <v>985</v>
      </c>
      <c r="C26" s="328">
        <f>SUM(C18:C25)</f>
        <v>266066845</v>
      </c>
      <c r="D26" s="686">
        <f>SUM(D18:D25)</f>
        <v>6079577</v>
      </c>
      <c r="E26" s="328">
        <f>SUM(E18:E25)</f>
        <v>-147094075</v>
      </c>
    </row>
    <row r="27" spans="1:5">
      <c r="A27" s="323"/>
      <c r="B27" s="324"/>
      <c r="C27" s="388">
        <v>0</v>
      </c>
      <c r="D27" s="687">
        <v>0</v>
      </c>
      <c r="E27" s="388">
        <v>0</v>
      </c>
    </row>
    <row r="28" spans="1:5">
      <c r="A28" s="323" t="s">
        <v>986</v>
      </c>
      <c r="B28" s="324" t="s">
        <v>1061</v>
      </c>
      <c r="C28" s="563">
        <f>85841984-C56</f>
        <v>85714131</v>
      </c>
      <c r="D28" s="685">
        <v>1950348</v>
      </c>
      <c r="E28" s="387">
        <v>-39028836</v>
      </c>
    </row>
    <row r="29" spans="1:5">
      <c r="A29" s="323" t="s">
        <v>987</v>
      </c>
      <c r="B29" s="324" t="s">
        <v>988</v>
      </c>
      <c r="C29" s="563">
        <v>24950607</v>
      </c>
      <c r="D29" s="685">
        <v>624745</v>
      </c>
      <c r="E29" s="387">
        <v>-16067337</v>
      </c>
    </row>
    <row r="30" spans="1:5">
      <c r="A30" s="323" t="s">
        <v>989</v>
      </c>
      <c r="B30" s="324" t="s">
        <v>990</v>
      </c>
      <c r="C30" s="563">
        <f>956902161-C56</f>
        <v>956774308</v>
      </c>
      <c r="D30" s="685">
        <f>32190203-D56</f>
        <v>32190203</v>
      </c>
      <c r="E30" s="387">
        <f>-286824369-E56</f>
        <v>-286740458</v>
      </c>
    </row>
    <row r="31" spans="1:5">
      <c r="A31" s="323" t="s">
        <v>991</v>
      </c>
      <c r="B31" s="324" t="s">
        <v>1047</v>
      </c>
      <c r="C31" s="563">
        <v>65394207</v>
      </c>
      <c r="D31" s="685">
        <v>2424407</v>
      </c>
      <c r="E31" s="387">
        <v>-20471590</v>
      </c>
    </row>
    <row r="32" spans="1:5">
      <c r="A32" s="323" t="s">
        <v>992</v>
      </c>
      <c r="B32" s="324" t="s">
        <v>993</v>
      </c>
      <c r="C32" s="563">
        <v>8121457</v>
      </c>
      <c r="D32" s="685">
        <v>207277</v>
      </c>
      <c r="E32" s="387">
        <f>-4198449</f>
        <v>-4198449</v>
      </c>
    </row>
    <row r="33" spans="1:5">
      <c r="A33" s="323" t="s">
        <v>994</v>
      </c>
      <c r="B33" s="324" t="s">
        <v>1060</v>
      </c>
      <c r="C33" s="563">
        <v>2394542</v>
      </c>
      <c r="D33" s="555">
        <v>66724</v>
      </c>
      <c r="E33" s="387">
        <v>-181927</v>
      </c>
    </row>
    <row r="34" spans="1:5">
      <c r="A34" s="323" t="s">
        <v>806</v>
      </c>
      <c r="B34" s="324" t="s">
        <v>152</v>
      </c>
      <c r="C34" s="428"/>
      <c r="D34" s="387"/>
      <c r="E34" s="387"/>
    </row>
    <row r="35" spans="1:5">
      <c r="A35" s="326"/>
      <c r="B35" s="327" t="s">
        <v>997</v>
      </c>
      <c r="C35" s="1259">
        <f>SUM(C28:C34)</f>
        <v>1143349252</v>
      </c>
      <c r="D35" s="1259">
        <f>SUM(D28:D34)</f>
        <v>37463704</v>
      </c>
      <c r="E35" s="1260">
        <f>SUM(E28:E34)</f>
        <v>-366688597</v>
      </c>
    </row>
    <row r="36" spans="1:5">
      <c r="A36" s="318"/>
      <c r="B36" s="318"/>
      <c r="C36" s="388">
        <v>0</v>
      </c>
      <c r="D36" s="388">
        <v>0</v>
      </c>
      <c r="E36" s="388">
        <v>0</v>
      </c>
    </row>
    <row r="37" spans="1:5" s="404" customFormat="1">
      <c r="A37" s="403" t="s">
        <v>1062</v>
      </c>
    </row>
    <row r="38" spans="1:5" s="404" customFormat="1">
      <c r="A38" s="403"/>
    </row>
    <row r="39" spans="1:5" s="404" customFormat="1" ht="51">
      <c r="A39" s="405" t="s">
        <v>1063</v>
      </c>
      <c r="B39" s="405" t="s">
        <v>1064</v>
      </c>
      <c r="C39" s="405" t="s">
        <v>960</v>
      </c>
      <c r="D39" s="405" t="s">
        <v>961</v>
      </c>
      <c r="E39" s="405" t="s">
        <v>959</v>
      </c>
    </row>
    <row r="40" spans="1:5" s="404" customFormat="1">
      <c r="A40" s="526">
        <v>23001021</v>
      </c>
      <c r="B40" s="317" t="s">
        <v>1065</v>
      </c>
      <c r="C40" s="407">
        <v>-23958</v>
      </c>
      <c r="D40" s="407">
        <v>0</v>
      </c>
      <c r="E40" s="407">
        <v>0</v>
      </c>
    </row>
    <row r="41" spans="1:5" s="404" customFormat="1">
      <c r="A41" s="526">
        <v>23001031</v>
      </c>
      <c r="B41" s="317" t="s">
        <v>1066</v>
      </c>
      <c r="C41" s="407">
        <v>866041</v>
      </c>
      <c r="D41" s="407">
        <v>0</v>
      </c>
      <c r="E41" s="407">
        <v>0</v>
      </c>
    </row>
    <row r="42" spans="1:5" s="404" customFormat="1">
      <c r="A42" s="526">
        <v>23001001</v>
      </c>
      <c r="B42" s="317" t="s">
        <v>1067</v>
      </c>
      <c r="C42" s="407">
        <v>0</v>
      </c>
      <c r="D42" s="407">
        <v>0</v>
      </c>
      <c r="E42" s="407">
        <v>0</v>
      </c>
    </row>
    <row r="43" spans="1:5" s="404" customFormat="1">
      <c r="A43" s="526">
        <v>23001041</v>
      </c>
      <c r="B43" s="527" t="s">
        <v>576</v>
      </c>
      <c r="C43" s="407">
        <v>1146131</v>
      </c>
      <c r="D43" s="407"/>
      <c r="E43" s="407"/>
    </row>
    <row r="44" spans="1:5" s="404" customFormat="1">
      <c r="A44" s="526">
        <v>23002001</v>
      </c>
      <c r="B44" s="527" t="s">
        <v>577</v>
      </c>
      <c r="C44" s="407">
        <v>0</v>
      </c>
      <c r="D44" s="407"/>
      <c r="E44" s="407"/>
    </row>
    <row r="45" spans="1:5" s="404" customFormat="1">
      <c r="A45" s="528">
        <v>23002011</v>
      </c>
      <c r="B45" s="529" t="s">
        <v>578</v>
      </c>
      <c r="C45" s="407">
        <v>641018</v>
      </c>
      <c r="D45" s="407"/>
      <c r="E45" s="407"/>
    </row>
    <row r="46" spans="1:5" s="404" customFormat="1">
      <c r="A46" s="526">
        <v>23002041</v>
      </c>
      <c r="B46" s="527" t="s">
        <v>579</v>
      </c>
      <c r="C46" s="407">
        <v>1436497</v>
      </c>
      <c r="D46" s="407"/>
      <c r="E46" s="407"/>
    </row>
    <row r="47" spans="1:5" s="404" customFormat="1">
      <c r="A47" s="406"/>
      <c r="C47" s="328">
        <f>SUM(C40:C46)</f>
        <v>4065729</v>
      </c>
      <c r="D47" s="328">
        <f>SUM(D40:D46)</f>
        <v>0</v>
      </c>
      <c r="E47" s="328">
        <f>SUM(E40:E46)</f>
        <v>0</v>
      </c>
    </row>
    <row r="48" spans="1:5" s="404" customFormat="1">
      <c r="A48" s="406"/>
      <c r="C48" s="325"/>
      <c r="D48" s="325"/>
      <c r="E48" s="325"/>
    </row>
    <row r="49" spans="1:5">
      <c r="A49" s="322" t="s">
        <v>998</v>
      </c>
      <c r="B49" s="318"/>
      <c r="C49" s="409">
        <f>SUM(C16,C26,C35,C47)</f>
        <v>2541511966.277916</v>
      </c>
      <c r="D49" s="409">
        <f>SUM(D16,D26,D35,D47)</f>
        <v>63184736</v>
      </c>
      <c r="E49" s="409">
        <f>SUM(E16,E26,E35,E47)</f>
        <v>-1172694999</v>
      </c>
    </row>
    <row r="50" spans="1:5">
      <c r="A50" s="322"/>
      <c r="B50" s="318"/>
      <c r="C50" s="329"/>
      <c r="D50" s="329"/>
      <c r="E50" s="329"/>
    </row>
    <row r="51" spans="1:5">
      <c r="A51" s="322" t="s">
        <v>999</v>
      </c>
      <c r="B51" s="318"/>
      <c r="C51" s="329"/>
      <c r="D51" s="329"/>
      <c r="E51" s="329"/>
    </row>
    <row r="52" spans="1:5">
      <c r="A52" s="530" t="s">
        <v>1017</v>
      </c>
      <c r="B52" s="531" t="s">
        <v>1018</v>
      </c>
      <c r="C52" s="387">
        <v>3762255</v>
      </c>
      <c r="D52" s="387"/>
      <c r="E52" s="387">
        <v>-150</v>
      </c>
    </row>
    <row r="53" spans="1:5">
      <c r="A53" s="530" t="s">
        <v>1019</v>
      </c>
      <c r="B53" s="531" t="s">
        <v>1020</v>
      </c>
      <c r="C53" s="387">
        <v>4632492</v>
      </c>
      <c r="D53" s="387">
        <v>245757</v>
      </c>
      <c r="E53" s="387">
        <v>-536451</v>
      </c>
    </row>
    <row r="54" spans="1:5">
      <c r="A54" s="530" t="s">
        <v>1021</v>
      </c>
      <c r="B54" s="531" t="s">
        <v>1022</v>
      </c>
      <c r="C54" s="387">
        <v>16073744</v>
      </c>
      <c r="D54" s="685">
        <v>8478</v>
      </c>
      <c r="E54" s="387">
        <v>-144439</v>
      </c>
    </row>
    <row r="55" spans="1:5">
      <c r="A55" s="530" t="s">
        <v>580</v>
      </c>
      <c r="B55" s="531" t="s">
        <v>172</v>
      </c>
      <c r="C55" s="387"/>
      <c r="D55" s="387"/>
      <c r="E55" s="387"/>
    </row>
    <row r="56" spans="1:5">
      <c r="A56" s="530" t="s">
        <v>581</v>
      </c>
      <c r="B56" s="531" t="s">
        <v>990</v>
      </c>
      <c r="C56" s="387">
        <v>127853</v>
      </c>
      <c r="D56" s="387"/>
      <c r="E56" s="387">
        <v>-83911</v>
      </c>
    </row>
    <row r="57" spans="1:5">
      <c r="A57" s="532">
        <v>100000</v>
      </c>
      <c r="B57" s="531" t="s">
        <v>1023</v>
      </c>
      <c r="C57" s="325">
        <v>0</v>
      </c>
      <c r="D57" s="325"/>
      <c r="E57" s="325"/>
    </row>
    <row r="58" spans="1:5">
      <c r="A58" s="532">
        <v>100006</v>
      </c>
      <c r="B58" s="531" t="s">
        <v>1024</v>
      </c>
      <c r="C58" s="325">
        <v>0</v>
      </c>
      <c r="D58" s="325"/>
      <c r="E58" s="325"/>
    </row>
    <row r="59" spans="1:5">
      <c r="A59" s="532">
        <v>100469</v>
      </c>
      <c r="B59" s="531" t="s">
        <v>1025</v>
      </c>
      <c r="C59" s="325">
        <v>39319203</v>
      </c>
      <c r="D59" s="325">
        <v>664025.21</v>
      </c>
      <c r="E59" s="325">
        <v>-1327204</v>
      </c>
    </row>
    <row r="60" spans="1:5">
      <c r="A60" s="532">
        <v>101000</v>
      </c>
      <c r="B60" s="531" t="s">
        <v>1026</v>
      </c>
      <c r="C60" s="325">
        <v>13371609</v>
      </c>
      <c r="D60" s="325">
        <v>333444.98</v>
      </c>
      <c r="E60" s="325">
        <v>-1988035</v>
      </c>
    </row>
    <row r="61" spans="1:5">
      <c r="A61" s="318"/>
      <c r="B61" s="322" t="s">
        <v>1027</v>
      </c>
      <c r="C61" s="328">
        <f>SUM(C52:C60)</f>
        <v>77287156</v>
      </c>
      <c r="D61" s="328">
        <f>SUM(D52:D60)</f>
        <v>1251705.19</v>
      </c>
      <c r="E61" s="328">
        <f>SUM(E52:E60)</f>
        <v>-4080190</v>
      </c>
    </row>
    <row r="62" spans="1:5">
      <c r="A62" s="318"/>
      <c r="B62" s="318"/>
      <c r="C62" s="330"/>
      <c r="D62" s="330"/>
      <c r="E62" s="330"/>
    </row>
    <row r="63" spans="1:5" ht="13.5" thickBot="1">
      <c r="A63" s="322" t="s">
        <v>243</v>
      </c>
      <c r="C63" s="408">
        <f>C61+C49</f>
        <v>2618799122.277916</v>
      </c>
      <c r="D63" s="408">
        <f>D61+D49</f>
        <v>64436441.189999998</v>
      </c>
      <c r="E63" s="408">
        <f>E61+E49</f>
        <v>-1176775189</v>
      </c>
    </row>
    <row r="64" spans="1:5" ht="13.5" thickTop="1"/>
    <row r="65" spans="1:5">
      <c r="A65" s="402" t="s">
        <v>1059</v>
      </c>
    </row>
    <row r="67" spans="1:5">
      <c r="A67" s="417" t="s">
        <v>569</v>
      </c>
      <c r="B67" s="418"/>
      <c r="C67" s="418"/>
      <c r="D67" s="418"/>
      <c r="E67" s="418"/>
    </row>
    <row r="68" spans="1:5">
      <c r="A68" s="411"/>
      <c r="B68" s="404"/>
      <c r="C68" s="404"/>
      <c r="D68" s="404"/>
      <c r="E68" s="404"/>
    </row>
    <row r="69" spans="1:5">
      <c r="A69" s="404"/>
      <c r="B69" s="404"/>
      <c r="C69" s="404"/>
      <c r="D69" s="404"/>
      <c r="E69" s="404"/>
    </row>
    <row r="70" spans="1:5" s="404" customFormat="1" ht="51">
      <c r="A70" s="405" t="s">
        <v>1043</v>
      </c>
      <c r="B70" s="405" t="s">
        <v>1285</v>
      </c>
      <c r="C70" s="405" t="s">
        <v>575</v>
      </c>
      <c r="D70" s="405" t="s">
        <v>768</v>
      </c>
      <c r="E70" s="405" t="s">
        <v>305</v>
      </c>
    </row>
    <row r="71" spans="1:5">
      <c r="A71" s="404"/>
      <c r="B71" s="404"/>
      <c r="C71" s="404"/>
      <c r="D71" s="404"/>
      <c r="E71" s="404"/>
    </row>
    <row r="72" spans="1:5">
      <c r="A72" s="8" t="s">
        <v>859</v>
      </c>
      <c r="B72" s="7" t="s">
        <v>817</v>
      </c>
      <c r="C72" s="413">
        <v>0</v>
      </c>
      <c r="D72" s="536"/>
      <c r="E72" s="414">
        <f>-D72*0.5</f>
        <v>0</v>
      </c>
    </row>
    <row r="73" spans="1:5">
      <c r="A73" s="8" t="s">
        <v>994</v>
      </c>
      <c r="B73" s="7" t="s">
        <v>818</v>
      </c>
      <c r="C73" s="554">
        <v>0</v>
      </c>
      <c r="D73" s="536"/>
      <c r="E73" s="414">
        <f>-D73*0.5</f>
        <v>0</v>
      </c>
    </row>
    <row r="74" spans="1:5">
      <c r="A74" s="8" t="s">
        <v>859</v>
      </c>
      <c r="B74" s="7" t="s">
        <v>819</v>
      </c>
      <c r="C74" s="554">
        <v>0</v>
      </c>
      <c r="D74" s="555"/>
      <c r="E74" s="414">
        <f>-D74*0.5</f>
        <v>0</v>
      </c>
    </row>
    <row r="75" spans="1:5">
      <c r="A75" s="404"/>
      <c r="B75" s="404"/>
      <c r="C75" s="556"/>
      <c r="D75" s="556"/>
      <c r="E75" s="556"/>
    </row>
    <row r="76" spans="1:5">
      <c r="A76" s="412" t="s">
        <v>244</v>
      </c>
      <c r="B76" s="404"/>
      <c r="C76" s="557">
        <f>C72+C73</f>
        <v>0</v>
      </c>
      <c r="D76" s="558">
        <f>D72+D73+D74</f>
        <v>0</v>
      </c>
      <c r="E76" s="558">
        <f>E72+E73+E74</f>
        <v>0</v>
      </c>
    </row>
    <row r="77" spans="1:5">
      <c r="A77" s="404"/>
      <c r="B77" s="404"/>
      <c r="C77" s="559"/>
      <c r="D77" s="560"/>
      <c r="E77" s="560"/>
    </row>
    <row r="78" spans="1:5">
      <c r="A78" s="412" t="s">
        <v>245</v>
      </c>
      <c r="B78" s="404"/>
      <c r="C78" s="416">
        <f>+C76</f>
        <v>0</v>
      </c>
      <c r="D78" s="416">
        <f>+D76</f>
        <v>0</v>
      </c>
      <c r="E78" s="416">
        <f>+E76</f>
        <v>0</v>
      </c>
    </row>
    <row r="79" spans="1:5">
      <c r="A79" s="404"/>
      <c r="B79" s="404"/>
      <c r="C79" s="404"/>
      <c r="D79" s="540"/>
      <c r="E79" s="540"/>
    </row>
    <row r="80" spans="1:5">
      <c r="A80" s="322" t="s">
        <v>242</v>
      </c>
      <c r="B80" s="404"/>
      <c r="C80" s="415">
        <f>C63+C78</f>
        <v>2618799122.277916</v>
      </c>
      <c r="D80" s="415">
        <f>D63+D78</f>
        <v>64436441.189999998</v>
      </c>
      <c r="E80" s="415">
        <f>E63+E78</f>
        <v>-1176775189</v>
      </c>
    </row>
    <row r="82" spans="2:4">
      <c r="B82"/>
      <c r="C82"/>
      <c r="D82"/>
    </row>
  </sheetData>
  <phoneticPr fontId="36" type="noConversion"/>
  <pageMargins left="0.2" right="0.22" top="0.41" bottom="0.2" header="0.17" footer="0.17"/>
  <pageSetup scale="65" orientation="landscape" r:id="rId1"/>
  <headerFooter alignWithMargins="0"/>
  <rowBreaks count="2" manualBreakCount="2">
    <brk id="50" max="16383" man="1"/>
    <brk id="6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Z63"/>
  <sheetViews>
    <sheetView zoomScaleNormal="100" workbookViewId="0">
      <pane xSplit="3" ySplit="5" topLeftCell="D27" activePane="bottomRight" state="frozen"/>
      <selection activeCell="I36" sqref="I36"/>
      <selection pane="topRight" activeCell="I36" sqref="I36"/>
      <selection pane="bottomLeft" activeCell="I36" sqref="I36"/>
      <selection pane="bottomRight" activeCell="E68" sqref="E68"/>
    </sheetView>
  </sheetViews>
  <sheetFormatPr defaultRowHeight="12.75" outlineLevelCol="1"/>
  <cols>
    <col min="1" max="1" width="3.6640625" style="593" customWidth="1"/>
    <col min="2" max="2" width="0.5" style="593" customWidth="1"/>
    <col min="3" max="3" width="61.6640625" style="593" bestFit="1" customWidth="1"/>
    <col min="4" max="4" width="21.33203125" style="632" customWidth="1" outlineLevel="1"/>
    <col min="5" max="5" width="20.33203125" style="593" customWidth="1" outlineLevel="1"/>
    <col min="6" max="6" width="21" style="593" customWidth="1" outlineLevel="1"/>
    <col min="7" max="7" width="19.33203125" style="593" customWidth="1"/>
    <col min="8" max="8" width="22.1640625" style="593" bestFit="1" customWidth="1"/>
    <col min="9" max="9" width="73.5" style="590" hidden="1" customWidth="1" outlineLevel="1"/>
    <col min="10" max="10" width="23.6640625" style="593" customWidth="1" collapsed="1"/>
    <col min="11" max="11" width="21.83203125" style="593" customWidth="1"/>
    <col min="12" max="12" width="14" style="603" bestFit="1" customWidth="1"/>
    <col min="13" max="13" width="13.1640625" style="603" customWidth="1"/>
    <col min="14" max="14" width="13.83203125" style="603" bestFit="1" customWidth="1"/>
    <col min="15" max="15" width="12.6640625" style="603" bestFit="1" customWidth="1"/>
    <col min="16" max="16" width="18" style="603" bestFit="1" customWidth="1"/>
    <col min="17" max="18" width="13.1640625" style="603" customWidth="1"/>
    <col min="19" max="19" width="23.33203125" style="603" customWidth="1"/>
    <col min="20" max="20" width="16.6640625" style="603" customWidth="1"/>
    <col min="21" max="21" width="15.6640625" style="603" bestFit="1" customWidth="1"/>
    <col min="22" max="22" width="17.6640625" style="593" bestFit="1" customWidth="1"/>
    <col min="23" max="23" width="16" style="593" bestFit="1" customWidth="1"/>
    <col min="24" max="24" width="16.83203125" style="593" bestFit="1" customWidth="1"/>
    <col min="25" max="25" width="13.1640625" style="593" bestFit="1" customWidth="1"/>
    <col min="26" max="26" width="14.33203125" style="593" bestFit="1" customWidth="1"/>
    <col min="27" max="16384" width="9.33203125" style="593"/>
  </cols>
  <sheetData>
    <row r="1" spans="1:26" ht="15.75">
      <c r="A1" s="584"/>
      <c r="B1" s="585" t="s">
        <v>620</v>
      </c>
      <c r="C1" s="586"/>
      <c r="D1" s="587"/>
      <c r="E1" s="588"/>
      <c r="F1" s="588"/>
      <c r="G1" s="588"/>
      <c r="H1" s="589"/>
      <c r="J1" s="591" t="str">
        <f>B1</f>
        <v>Puget Sound Energy - 2011 GRC</v>
      </c>
      <c r="K1" s="588"/>
      <c r="L1" s="1233"/>
      <c r="M1" s="1233"/>
      <c r="N1" s="1233"/>
      <c r="O1" s="1295" t="s">
        <v>1418</v>
      </c>
      <c r="P1" s="1233" t="s">
        <v>613</v>
      </c>
      <c r="Q1" s="1233" t="s">
        <v>642</v>
      </c>
      <c r="R1" s="1233"/>
      <c r="S1" s="1233" t="s">
        <v>626</v>
      </c>
      <c r="T1" s="1233" t="s">
        <v>643</v>
      </c>
      <c r="U1" s="592"/>
      <c r="V1" s="589"/>
    </row>
    <row r="2" spans="1:26" ht="15.75">
      <c r="A2" s="594"/>
      <c r="B2" s="595" t="s">
        <v>306</v>
      </c>
      <c r="C2" s="596"/>
      <c r="D2" s="597"/>
      <c r="E2" s="598"/>
      <c r="F2" s="598"/>
      <c r="G2" s="598"/>
      <c r="H2" s="599"/>
      <c r="I2" s="600"/>
      <c r="J2" s="601" t="str">
        <f>B2</f>
        <v>Production O&amp;M by Resources</v>
      </c>
      <c r="K2" s="598"/>
      <c r="L2" s="1233"/>
      <c r="M2" s="1233"/>
      <c r="N2" s="1233" t="s">
        <v>644</v>
      </c>
      <c r="O2" s="1295" t="s">
        <v>1420</v>
      </c>
      <c r="P2" s="1233" t="s">
        <v>505</v>
      </c>
      <c r="Q2" s="1233" t="s">
        <v>505</v>
      </c>
      <c r="R2" s="1233" t="s">
        <v>505</v>
      </c>
      <c r="S2" s="1233" t="s">
        <v>505</v>
      </c>
      <c r="T2" s="1233"/>
      <c r="U2" s="602"/>
      <c r="V2" s="613" t="s">
        <v>296</v>
      </c>
      <c r="W2" s="1233" t="s">
        <v>656</v>
      </c>
    </row>
    <row r="3" spans="1:26">
      <c r="A3" s="594"/>
      <c r="B3" s="598"/>
      <c r="C3" s="598"/>
      <c r="D3" s="597"/>
      <c r="E3" s="598"/>
      <c r="F3" s="598"/>
      <c r="G3" s="598"/>
      <c r="H3" s="604"/>
      <c r="J3" s="594"/>
      <c r="K3" s="605" t="s">
        <v>1181</v>
      </c>
      <c r="L3" s="1233" t="s">
        <v>1301</v>
      </c>
      <c r="M3" s="1233" t="s">
        <v>646</v>
      </c>
      <c r="N3" s="1233" t="s">
        <v>647</v>
      </c>
      <c r="O3" s="1297" t="s">
        <v>1419</v>
      </c>
      <c r="P3" s="1233" t="s">
        <v>506</v>
      </c>
      <c r="Q3" s="1233" t="s">
        <v>506</v>
      </c>
      <c r="R3" s="1233" t="s">
        <v>648</v>
      </c>
      <c r="S3" s="1233" t="s">
        <v>295</v>
      </c>
      <c r="T3" s="1233"/>
      <c r="U3" s="602"/>
      <c r="V3" s="606" t="s">
        <v>827</v>
      </c>
      <c r="W3" s="1233" t="s">
        <v>769</v>
      </c>
    </row>
    <row r="4" spans="1:26">
      <c r="A4" s="594"/>
      <c r="B4" s="598"/>
      <c r="C4" s="598"/>
      <c r="D4" s="605" t="s">
        <v>1182</v>
      </c>
      <c r="E4" s="605" t="s">
        <v>1183</v>
      </c>
      <c r="F4" s="605" t="s">
        <v>1184</v>
      </c>
      <c r="G4" s="605" t="s">
        <v>616</v>
      </c>
      <c r="H4" s="606" t="s">
        <v>1181</v>
      </c>
      <c r="I4" s="607"/>
      <c r="J4" s="608"/>
      <c r="K4" s="605" t="str">
        <f>+H5</f>
        <v>01/10-12/10</v>
      </c>
      <c r="L4" s="1510" t="s">
        <v>649</v>
      </c>
      <c r="M4" s="1510"/>
      <c r="N4" s="1510"/>
      <c r="O4" s="1510"/>
      <c r="P4" s="1510"/>
      <c r="Q4" s="1510"/>
      <c r="R4" s="1510"/>
      <c r="S4" s="1510"/>
      <c r="T4" s="1510"/>
      <c r="U4" s="1233" t="s">
        <v>603</v>
      </c>
      <c r="V4" s="606" t="s">
        <v>1181</v>
      </c>
      <c r="W4" s="1233" t="s">
        <v>307</v>
      </c>
    </row>
    <row r="5" spans="1:26" s="614" customFormat="1">
      <c r="A5" s="609"/>
      <c r="B5" s="610"/>
      <c r="C5" s="610" t="s">
        <v>1185</v>
      </c>
      <c r="D5" s="610" t="s">
        <v>622</v>
      </c>
      <c r="E5" s="610" t="s">
        <v>622</v>
      </c>
      <c r="F5" s="610" t="s">
        <v>622</v>
      </c>
      <c r="G5" s="610" t="s">
        <v>615</v>
      </c>
      <c r="H5" s="606" t="s">
        <v>619</v>
      </c>
      <c r="I5" s="607"/>
      <c r="J5" s="611" t="s">
        <v>309</v>
      </c>
      <c r="K5" s="610"/>
      <c r="L5" s="1233" t="s">
        <v>650</v>
      </c>
      <c r="M5" s="1233">
        <v>4</v>
      </c>
      <c r="N5" s="1233">
        <v>5</v>
      </c>
      <c r="O5" s="1233" t="s">
        <v>292</v>
      </c>
      <c r="P5" s="1233">
        <v>8</v>
      </c>
      <c r="Q5" s="1233" t="s">
        <v>293</v>
      </c>
      <c r="R5" s="1233" t="s">
        <v>294</v>
      </c>
      <c r="S5" s="1233">
        <v>14</v>
      </c>
      <c r="T5" s="1069">
        <v>15</v>
      </c>
      <c r="U5" s="1233" t="s">
        <v>655</v>
      </c>
      <c r="V5" s="612" t="s">
        <v>614</v>
      </c>
      <c r="W5" s="1233" t="s">
        <v>11</v>
      </c>
      <c r="X5" s="613" t="s">
        <v>1282</v>
      </c>
    </row>
    <row r="6" spans="1:26">
      <c r="A6" s="594"/>
      <c r="B6" s="598"/>
      <c r="C6" s="615" t="s">
        <v>1186</v>
      </c>
      <c r="D6" s="602">
        <v>17078907.289999999</v>
      </c>
      <c r="E6" s="597"/>
      <c r="F6" s="597"/>
      <c r="G6" s="597"/>
      <c r="H6" s="616">
        <f>SUM(D6:G6)</f>
        <v>17078907.289999999</v>
      </c>
      <c r="I6" s="617">
        <v>0</v>
      </c>
      <c r="J6" s="618" t="str">
        <f t="shared" ref="J6:J19" si="0">+C6</f>
        <v>Colstrip 1/2</v>
      </c>
      <c r="K6" s="619">
        <f t="shared" ref="K6:K30" si="1">H6</f>
        <v>17078907.289999999</v>
      </c>
      <c r="L6" s="1073">
        <v>5598904.1460799268</v>
      </c>
      <c r="M6" s="1073"/>
      <c r="N6" s="1073"/>
      <c r="O6" s="1073"/>
      <c r="P6" s="1073"/>
      <c r="Q6" s="1073"/>
      <c r="R6" s="1073"/>
      <c r="S6" s="1073"/>
      <c r="T6" s="1073"/>
      <c r="U6" s="602">
        <f t="shared" ref="U6:U30" si="2">SUM(L6:T6)</f>
        <v>5598904.1460799268</v>
      </c>
      <c r="V6" s="620">
        <f t="shared" ref="V6:V30" si="3">K6+U6</f>
        <v>22677811.436079927</v>
      </c>
      <c r="W6" s="603">
        <v>19847628.250159156</v>
      </c>
      <c r="X6" s="621">
        <f t="shared" ref="X6:X30" si="4">V6-W6</f>
        <v>2830183.1859207712</v>
      </c>
      <c r="Y6" s="621"/>
      <c r="Z6" s="621"/>
    </row>
    <row r="7" spans="1:26">
      <c r="A7" s="594"/>
      <c r="B7" s="598"/>
      <c r="C7" s="615" t="s">
        <v>1187</v>
      </c>
      <c r="D7" s="602">
        <v>13103107.83</v>
      </c>
      <c r="E7" s="602"/>
      <c r="F7" s="602"/>
      <c r="G7" s="602"/>
      <c r="H7" s="622">
        <f t="shared" ref="H7:H30" si="5">SUM(D7:G7)</f>
        <v>13103107.83</v>
      </c>
      <c r="I7" s="617">
        <v>0</v>
      </c>
      <c r="J7" s="618" t="str">
        <f t="shared" si="0"/>
        <v>Colstrip 3/4</v>
      </c>
      <c r="K7" s="619">
        <f t="shared" si="1"/>
        <v>13103107.83</v>
      </c>
      <c r="L7" s="1073">
        <v>4273870.6473401543</v>
      </c>
      <c r="M7" s="1073"/>
      <c r="N7" s="1073"/>
      <c r="O7" s="1073"/>
      <c r="P7" s="1073"/>
      <c r="Q7" s="1073"/>
      <c r="R7" s="1073"/>
      <c r="S7" s="1073"/>
      <c r="T7" s="1073"/>
      <c r="U7" s="602">
        <f t="shared" si="2"/>
        <v>4273870.6473401543</v>
      </c>
      <c r="V7" s="620">
        <f t="shared" si="3"/>
        <v>17376978.477340154</v>
      </c>
      <c r="W7" s="603">
        <v>15149015.09280904</v>
      </c>
      <c r="X7" s="621">
        <f t="shared" si="4"/>
        <v>2227963.3845311143</v>
      </c>
      <c r="Y7" s="621"/>
      <c r="Z7" s="621"/>
    </row>
    <row r="8" spans="1:26">
      <c r="A8" s="594"/>
      <c r="B8" s="598"/>
      <c r="C8" s="615" t="s">
        <v>504</v>
      </c>
      <c r="D8" s="602">
        <v>-2429480</v>
      </c>
      <c r="E8" s="602"/>
      <c r="F8" s="602"/>
      <c r="G8" s="602"/>
      <c r="H8" s="622">
        <f t="shared" si="5"/>
        <v>-2429480</v>
      </c>
      <c r="I8" s="617"/>
      <c r="J8" s="618" t="str">
        <f t="shared" si="0"/>
        <v>Colstrip Settlement</v>
      </c>
      <c r="K8" s="619">
        <f t="shared" si="1"/>
        <v>-2429480</v>
      </c>
      <c r="L8" s="1073">
        <v>2083590</v>
      </c>
      <c r="M8" s="1073"/>
      <c r="N8" s="1073"/>
      <c r="O8" s="1073"/>
      <c r="P8" s="1073"/>
      <c r="Q8" s="1073"/>
      <c r="R8" s="1073"/>
      <c r="S8" s="1073"/>
      <c r="T8" s="1073"/>
      <c r="U8" s="602">
        <f t="shared" si="2"/>
        <v>2083590</v>
      </c>
      <c r="V8" s="620">
        <f t="shared" si="3"/>
        <v>-345890</v>
      </c>
      <c r="W8" s="603">
        <v>10487160.199999999</v>
      </c>
      <c r="X8" s="621">
        <f t="shared" si="4"/>
        <v>-10833050.199999999</v>
      </c>
      <c r="Y8" s="621"/>
      <c r="Z8" s="621"/>
    </row>
    <row r="9" spans="1:26">
      <c r="A9" s="594"/>
      <c r="B9" s="598"/>
      <c r="C9" s="615" t="s">
        <v>1188</v>
      </c>
      <c r="D9" s="602">
        <v>888277.76</v>
      </c>
      <c r="E9" s="602"/>
      <c r="F9" s="602">
        <v>3299875.54</v>
      </c>
      <c r="G9" s="602"/>
      <c r="H9" s="622">
        <f t="shared" si="5"/>
        <v>4188153.3</v>
      </c>
      <c r="I9" s="617">
        <v>0</v>
      </c>
      <c r="J9" s="618" t="str">
        <f t="shared" si="0"/>
        <v>Encogen</v>
      </c>
      <c r="K9" s="619">
        <f t="shared" si="1"/>
        <v>4188153.3</v>
      </c>
      <c r="L9" s="1073"/>
      <c r="M9" s="1073"/>
      <c r="N9" s="1073"/>
      <c r="O9" s="1073"/>
      <c r="P9" s="1073"/>
      <c r="Q9" s="1073"/>
      <c r="R9" s="1073"/>
      <c r="S9" s="1073"/>
      <c r="T9" s="1073"/>
      <c r="U9" s="602">
        <f t="shared" si="2"/>
        <v>0</v>
      </c>
      <c r="V9" s="620">
        <f t="shared" si="3"/>
        <v>4188153.3</v>
      </c>
      <c r="W9" s="621">
        <v>3579223.74</v>
      </c>
      <c r="X9" s="621">
        <f t="shared" si="4"/>
        <v>608929.55999999959</v>
      </c>
      <c r="Y9" s="621"/>
      <c r="Z9" s="621"/>
    </row>
    <row r="10" spans="1:26">
      <c r="A10" s="594"/>
      <c r="B10" s="598"/>
      <c r="C10" s="615" t="s">
        <v>1189</v>
      </c>
      <c r="D10" s="602"/>
      <c r="E10" s="602">
        <v>5653794.9799999995</v>
      </c>
      <c r="F10" s="602"/>
      <c r="G10" s="602"/>
      <c r="H10" s="622">
        <f t="shared" si="5"/>
        <v>5653794.9799999995</v>
      </c>
      <c r="I10" s="617">
        <v>0</v>
      </c>
      <c r="J10" s="618" t="str">
        <f t="shared" si="0"/>
        <v>Lower Baker</v>
      </c>
      <c r="K10" s="619">
        <f t="shared" si="1"/>
        <v>5653794.9799999995</v>
      </c>
      <c r="L10" s="1073"/>
      <c r="M10" s="1073"/>
      <c r="N10" s="1073"/>
      <c r="O10" s="1073"/>
      <c r="P10" s="1073"/>
      <c r="Q10" s="1073"/>
      <c r="R10" s="1073"/>
      <c r="S10" s="1073"/>
      <c r="T10" s="1073"/>
      <c r="U10" s="602">
        <f t="shared" si="2"/>
        <v>0</v>
      </c>
      <c r="V10" s="620">
        <f t="shared" si="3"/>
        <v>5653794.9799999995</v>
      </c>
      <c r="W10" s="621">
        <v>2859726.41</v>
      </c>
      <c r="X10" s="621">
        <f t="shared" si="4"/>
        <v>2794068.5699999994</v>
      </c>
      <c r="Y10" s="621"/>
      <c r="Z10" s="621"/>
    </row>
    <row r="11" spans="1:26">
      <c r="A11" s="594"/>
      <c r="B11" s="598"/>
      <c r="C11" s="615" t="s">
        <v>1190</v>
      </c>
      <c r="D11" s="602"/>
      <c r="E11" s="602">
        <v>1053604.8500000006</v>
      </c>
      <c r="F11" s="602"/>
      <c r="G11" s="602"/>
      <c r="H11" s="622">
        <f t="shared" si="5"/>
        <v>1053604.8500000006</v>
      </c>
      <c r="I11" s="617">
        <v>0</v>
      </c>
      <c r="J11" s="618" t="str">
        <f t="shared" si="0"/>
        <v>Upper Baker</v>
      </c>
      <c r="K11" s="619">
        <f t="shared" si="1"/>
        <v>1053604.8500000006</v>
      </c>
      <c r="L11" s="1073"/>
      <c r="M11" s="1073"/>
      <c r="N11" s="1073"/>
      <c r="O11" s="1073"/>
      <c r="P11" s="1073"/>
      <c r="Q11" s="1073"/>
      <c r="R11" s="1073"/>
      <c r="S11" s="1073"/>
      <c r="T11" s="1073"/>
      <c r="U11" s="602">
        <f t="shared" si="2"/>
        <v>0</v>
      </c>
      <c r="V11" s="620">
        <f t="shared" si="3"/>
        <v>1053604.8500000006</v>
      </c>
      <c r="W11" s="621">
        <v>2744433.4300000006</v>
      </c>
      <c r="X11" s="621">
        <f t="shared" si="4"/>
        <v>-1690828.58</v>
      </c>
      <c r="Y11" s="621"/>
      <c r="Z11" s="621"/>
    </row>
    <row r="12" spans="1:26">
      <c r="A12" s="594"/>
      <c r="B12" s="598"/>
      <c r="C12" s="615" t="s">
        <v>623</v>
      </c>
      <c r="D12" s="602"/>
      <c r="E12" s="602">
        <v>6286854.79</v>
      </c>
      <c r="F12" s="602"/>
      <c r="G12" s="602"/>
      <c r="H12" s="622">
        <f t="shared" si="5"/>
        <v>6286854.79</v>
      </c>
      <c r="I12" s="617"/>
      <c r="J12" s="618" t="str">
        <f t="shared" si="0"/>
        <v>Baker License</v>
      </c>
      <c r="K12" s="619">
        <f t="shared" si="1"/>
        <v>6286854.79</v>
      </c>
      <c r="L12" s="1073"/>
      <c r="M12" s="1073">
        <f>+H39</f>
        <v>-1359065</v>
      </c>
      <c r="N12" s="1073"/>
      <c r="O12" s="1073"/>
      <c r="P12" s="1073"/>
      <c r="Q12" s="1073"/>
      <c r="R12" s="1073"/>
      <c r="S12" s="1073"/>
      <c r="T12" s="1073"/>
      <c r="U12" s="602">
        <f t="shared" si="2"/>
        <v>-1359065</v>
      </c>
      <c r="V12" s="620">
        <f t="shared" si="3"/>
        <v>4927789.79</v>
      </c>
      <c r="W12" s="621">
        <v>4740511.2699999996</v>
      </c>
      <c r="X12" s="621">
        <f t="shared" si="4"/>
        <v>187278.52000000048</v>
      </c>
      <c r="Y12" s="621"/>
      <c r="Z12" s="621"/>
    </row>
    <row r="13" spans="1:26">
      <c r="A13" s="594"/>
      <c r="B13" s="598"/>
      <c r="C13" s="615" t="s">
        <v>1191</v>
      </c>
      <c r="D13" s="602"/>
      <c r="E13" s="602">
        <v>3735078.12</v>
      </c>
      <c r="F13" s="602"/>
      <c r="G13" s="602"/>
      <c r="H13" s="622">
        <f t="shared" si="5"/>
        <v>3735078.12</v>
      </c>
      <c r="I13" s="617">
        <v>0</v>
      </c>
      <c r="J13" s="618" t="str">
        <f t="shared" si="0"/>
        <v>Electron</v>
      </c>
      <c r="K13" s="619">
        <f t="shared" si="1"/>
        <v>3735078.12</v>
      </c>
      <c r="L13" s="1073"/>
      <c r="M13" s="1073"/>
      <c r="N13" s="1073"/>
      <c r="O13" s="1073"/>
      <c r="P13" s="1073"/>
      <c r="Q13" s="1073"/>
      <c r="R13" s="1073"/>
      <c r="S13" s="1073"/>
      <c r="T13" s="1073"/>
      <c r="U13" s="602">
        <f t="shared" si="2"/>
        <v>0</v>
      </c>
      <c r="V13" s="620">
        <f t="shared" si="3"/>
        <v>3735078.12</v>
      </c>
      <c r="W13" s="621">
        <v>3117344.21</v>
      </c>
      <c r="X13" s="621">
        <f t="shared" si="4"/>
        <v>617733.91000000015</v>
      </c>
      <c r="Y13" s="621"/>
      <c r="Z13" s="621"/>
    </row>
    <row r="14" spans="1:26">
      <c r="A14" s="594"/>
      <c r="B14" s="598"/>
      <c r="C14" s="615" t="s">
        <v>611</v>
      </c>
      <c r="D14" s="602"/>
      <c r="E14" s="602">
        <v>1849779.7400000002</v>
      </c>
      <c r="F14" s="602"/>
      <c r="G14" s="602"/>
      <c r="H14" s="622">
        <f t="shared" si="5"/>
        <v>1849779.7400000002</v>
      </c>
      <c r="I14" s="617">
        <v>0</v>
      </c>
      <c r="J14" s="618" t="str">
        <f t="shared" si="0"/>
        <v>Snoqualmie 1/2</v>
      </c>
      <c r="K14" s="619">
        <f t="shared" si="1"/>
        <v>1849779.7400000002</v>
      </c>
      <c r="L14" s="1073"/>
      <c r="M14" s="1073"/>
      <c r="N14" s="1073"/>
      <c r="O14" s="1073"/>
      <c r="P14" s="1073"/>
      <c r="Q14" s="1073"/>
      <c r="R14" s="1073"/>
      <c r="S14" s="1073"/>
      <c r="T14" s="1073"/>
      <c r="U14" s="602">
        <f t="shared" si="2"/>
        <v>0</v>
      </c>
      <c r="V14" s="620">
        <f t="shared" si="3"/>
        <v>1849779.7400000002</v>
      </c>
      <c r="W14" s="621">
        <v>3057365.83</v>
      </c>
      <c r="X14" s="621">
        <f t="shared" si="4"/>
        <v>-1207586.0899999999</v>
      </c>
      <c r="Y14" s="621"/>
      <c r="Z14" s="621"/>
    </row>
    <row r="15" spans="1:26">
      <c r="A15" s="594"/>
      <c r="B15" s="598"/>
      <c r="C15" s="615" t="s">
        <v>624</v>
      </c>
      <c r="D15" s="602"/>
      <c r="E15" s="602">
        <v>579805.07999999996</v>
      </c>
      <c r="F15" s="602"/>
      <c r="G15" s="602"/>
      <c r="H15" s="622">
        <f t="shared" si="5"/>
        <v>579805.07999999996</v>
      </c>
      <c r="I15" s="617"/>
      <c r="J15" s="618" t="str">
        <f t="shared" si="0"/>
        <v>Snoqualmie License</v>
      </c>
      <c r="K15" s="619">
        <f t="shared" si="1"/>
        <v>579805.07999999996</v>
      </c>
      <c r="L15" s="1073"/>
      <c r="M15" s="1073"/>
      <c r="N15" s="1073">
        <f>+H40</f>
        <v>64914</v>
      </c>
      <c r="O15" s="1073"/>
      <c r="P15" s="1073"/>
      <c r="Q15" s="1073"/>
      <c r="R15" s="1073"/>
      <c r="S15" s="1073"/>
      <c r="T15" s="1073"/>
      <c r="U15" s="602">
        <f t="shared" si="2"/>
        <v>64914</v>
      </c>
      <c r="V15" s="620">
        <f t="shared" si="3"/>
        <v>644719.07999999996</v>
      </c>
      <c r="W15" s="621">
        <v>1012745.36</v>
      </c>
      <c r="X15" s="621">
        <f t="shared" si="4"/>
        <v>-368026.28</v>
      </c>
      <c r="Y15" s="621"/>
      <c r="Z15" s="621"/>
    </row>
    <row r="16" spans="1:26">
      <c r="A16" s="594"/>
      <c r="B16" s="598"/>
      <c r="C16" s="615" t="s">
        <v>1192</v>
      </c>
      <c r="D16" s="602"/>
      <c r="E16" s="602"/>
      <c r="F16" s="602"/>
      <c r="G16" s="602"/>
      <c r="H16" s="622">
        <f t="shared" si="5"/>
        <v>0</v>
      </c>
      <c r="I16" s="617">
        <v>0</v>
      </c>
      <c r="J16" s="618" t="str">
        <f t="shared" si="0"/>
        <v>White River</v>
      </c>
      <c r="K16" s="619">
        <f t="shared" si="1"/>
        <v>0</v>
      </c>
      <c r="L16" s="1073"/>
      <c r="M16" s="1073"/>
      <c r="N16" s="1073"/>
      <c r="O16" s="1073"/>
      <c r="P16" s="1073"/>
      <c r="Q16" s="1073"/>
      <c r="R16" s="1073"/>
      <c r="S16" s="1073"/>
      <c r="T16" s="1073"/>
      <c r="U16" s="602">
        <f t="shared" si="2"/>
        <v>0</v>
      </c>
      <c r="V16" s="620">
        <f t="shared" si="3"/>
        <v>0</v>
      </c>
      <c r="W16" s="621">
        <v>278249.19354838709</v>
      </c>
      <c r="X16" s="621">
        <f t="shared" si="4"/>
        <v>-278249.19354838709</v>
      </c>
      <c r="Y16" s="621"/>
      <c r="Z16" s="621"/>
    </row>
    <row r="17" spans="1:26">
      <c r="A17" s="594"/>
      <c r="B17" s="598"/>
      <c r="C17" s="615" t="s">
        <v>612</v>
      </c>
      <c r="D17" s="602">
        <v>2171101.87</v>
      </c>
      <c r="E17" s="602"/>
      <c r="F17" s="602">
        <v>1644586.8699999999</v>
      </c>
      <c r="G17" s="602"/>
      <c r="H17" s="622">
        <f t="shared" si="5"/>
        <v>3815688.74</v>
      </c>
      <c r="I17" s="617">
        <v>0</v>
      </c>
      <c r="J17" s="618" t="str">
        <f t="shared" si="0"/>
        <v>Freddie 1</v>
      </c>
      <c r="K17" s="619">
        <f t="shared" si="1"/>
        <v>3815688.74</v>
      </c>
      <c r="L17" s="1073"/>
      <c r="M17" s="1073"/>
      <c r="N17" s="1073"/>
      <c r="O17" s="1073">
        <f>SUM(H41:H42)</f>
        <v>646334.04614111967</v>
      </c>
      <c r="P17" s="1073"/>
      <c r="Q17" s="1073"/>
      <c r="R17" s="1073"/>
      <c r="S17" s="1073"/>
      <c r="T17" s="1073"/>
      <c r="U17" s="602">
        <f t="shared" si="2"/>
        <v>646334.04614111967</v>
      </c>
      <c r="V17" s="620">
        <f t="shared" si="3"/>
        <v>4462022.7861411199</v>
      </c>
      <c r="W17" s="621">
        <v>4175978.2795258239</v>
      </c>
      <c r="X17" s="621">
        <f t="shared" si="4"/>
        <v>286044.50661529601</v>
      </c>
      <c r="Y17" s="621"/>
      <c r="Z17" s="621"/>
    </row>
    <row r="18" spans="1:26">
      <c r="A18" s="594"/>
      <c r="B18" s="598"/>
      <c r="C18" s="615" t="s">
        <v>1193</v>
      </c>
      <c r="D18" s="602"/>
      <c r="E18" s="602"/>
      <c r="F18" s="602">
        <v>111244.36</v>
      </c>
      <c r="G18" s="602"/>
      <c r="H18" s="622">
        <f t="shared" si="5"/>
        <v>111244.36</v>
      </c>
      <c r="I18" s="617">
        <v>0</v>
      </c>
      <c r="J18" s="618" t="str">
        <f t="shared" si="0"/>
        <v>Crystal</v>
      </c>
      <c r="K18" s="619">
        <f t="shared" si="1"/>
        <v>111244.36</v>
      </c>
      <c r="L18" s="1073"/>
      <c r="M18" s="1073"/>
      <c r="N18" s="1073"/>
      <c r="O18" s="1073"/>
      <c r="P18" s="1073"/>
      <c r="Q18" s="1073"/>
      <c r="R18" s="1073"/>
      <c r="S18" s="1073"/>
      <c r="T18" s="1073"/>
      <c r="U18" s="602">
        <f t="shared" si="2"/>
        <v>0</v>
      </c>
      <c r="V18" s="620">
        <f t="shared" si="3"/>
        <v>111244.36</v>
      </c>
      <c r="W18" s="621">
        <v>213978.14</v>
      </c>
      <c r="X18" s="621">
        <f t="shared" si="4"/>
        <v>-102733.78000000001</v>
      </c>
      <c r="Y18" s="621"/>
      <c r="Z18" s="621"/>
    </row>
    <row r="19" spans="1:26">
      <c r="A19" s="594"/>
      <c r="B19" s="598"/>
      <c r="C19" s="615" t="s">
        <v>377</v>
      </c>
      <c r="D19" s="602">
        <v>1727294.32</v>
      </c>
      <c r="E19" s="602"/>
      <c r="F19" s="602">
        <v>4836105.6900000004</v>
      </c>
      <c r="G19" s="602"/>
      <c r="H19" s="622">
        <f t="shared" si="5"/>
        <v>6563400.0100000007</v>
      </c>
      <c r="I19" s="617">
        <v>0</v>
      </c>
      <c r="J19" s="618" t="str">
        <f t="shared" si="0"/>
        <v>Goldendale</v>
      </c>
      <c r="K19" s="619">
        <f t="shared" si="1"/>
        <v>6563400.0100000007</v>
      </c>
      <c r="L19" s="1073"/>
      <c r="M19" s="1073"/>
      <c r="N19" s="1073"/>
      <c r="O19" s="1073"/>
      <c r="P19" s="1073"/>
      <c r="Q19" s="1073"/>
      <c r="R19" s="1073"/>
      <c r="S19" s="1073"/>
      <c r="T19" s="1073"/>
      <c r="U19" s="602">
        <f t="shared" si="2"/>
        <v>0</v>
      </c>
      <c r="V19" s="620">
        <f t="shared" si="3"/>
        <v>6563400.0100000007</v>
      </c>
      <c r="W19" s="621">
        <v>6320161.9900000012</v>
      </c>
      <c r="X19" s="621">
        <f t="shared" si="4"/>
        <v>243238.01999999955</v>
      </c>
      <c r="Y19" s="621"/>
      <c r="Z19" s="621"/>
    </row>
    <row r="20" spans="1:26">
      <c r="A20" s="594"/>
      <c r="B20" s="598"/>
      <c r="C20" s="615" t="s">
        <v>1214</v>
      </c>
      <c r="D20" s="602">
        <v>3189956.55</v>
      </c>
      <c r="E20" s="602"/>
      <c r="F20" s="602">
        <v>4780159.03</v>
      </c>
      <c r="G20" s="602"/>
      <c r="H20" s="622">
        <f t="shared" si="5"/>
        <v>7970115.5800000001</v>
      </c>
      <c r="I20" s="617"/>
      <c r="J20" s="618" t="s">
        <v>1214</v>
      </c>
      <c r="K20" s="619">
        <f t="shared" si="1"/>
        <v>7970115.5800000001</v>
      </c>
      <c r="L20" s="1073"/>
      <c r="M20" s="1073"/>
      <c r="N20" s="1073"/>
      <c r="O20" s="1073"/>
      <c r="P20" s="1073"/>
      <c r="Q20" s="1073"/>
      <c r="R20" s="1073"/>
      <c r="S20" s="1073"/>
      <c r="T20" s="1073"/>
      <c r="U20" s="602">
        <f t="shared" si="2"/>
        <v>0</v>
      </c>
      <c r="V20" s="620">
        <f t="shared" si="3"/>
        <v>7970115.5800000001</v>
      </c>
      <c r="W20" s="621">
        <v>5215032.9325213023</v>
      </c>
      <c r="X20" s="621">
        <f t="shared" si="4"/>
        <v>2755082.6474786978</v>
      </c>
      <c r="Y20" s="621"/>
      <c r="Z20" s="621"/>
    </row>
    <row r="21" spans="1:26">
      <c r="A21" s="594"/>
      <c r="B21" s="598"/>
      <c r="C21" s="615" t="s">
        <v>310</v>
      </c>
      <c r="D21" s="602"/>
      <c r="E21" s="602"/>
      <c r="F21" s="602">
        <v>1084012.03</v>
      </c>
      <c r="G21" s="602"/>
      <c r="H21" s="622">
        <f t="shared" si="5"/>
        <v>1084012.03</v>
      </c>
      <c r="I21" s="617">
        <v>0</v>
      </c>
      <c r="J21" s="618" t="str">
        <f>+C21</f>
        <v>Whitehorn 1/2/3</v>
      </c>
      <c r="K21" s="619">
        <f t="shared" si="1"/>
        <v>1084012.03</v>
      </c>
      <c r="L21" s="1073"/>
      <c r="M21" s="1073"/>
      <c r="N21" s="1073"/>
      <c r="O21" s="1073"/>
      <c r="P21" s="1073"/>
      <c r="Q21" s="1073"/>
      <c r="R21" s="1073"/>
      <c r="S21" s="1073"/>
      <c r="T21" s="1073"/>
      <c r="U21" s="602">
        <f t="shared" si="2"/>
        <v>0</v>
      </c>
      <c r="V21" s="620">
        <f t="shared" si="3"/>
        <v>1084012.03</v>
      </c>
      <c r="W21" s="621">
        <v>1159774.95</v>
      </c>
      <c r="X21" s="621">
        <f t="shared" si="4"/>
        <v>-75762.919999999925</v>
      </c>
      <c r="Y21" s="621"/>
      <c r="Z21" s="621"/>
    </row>
    <row r="22" spans="1:26">
      <c r="A22" s="594"/>
      <c r="B22" s="598"/>
      <c r="C22" s="615" t="s">
        <v>311</v>
      </c>
      <c r="D22" s="602"/>
      <c r="E22" s="602"/>
      <c r="F22" s="602">
        <v>6909823.1099999994</v>
      </c>
      <c r="G22" s="602"/>
      <c r="H22" s="622">
        <f t="shared" si="5"/>
        <v>6909823.1099999994</v>
      </c>
      <c r="I22" s="617">
        <v>0</v>
      </c>
      <c r="J22" s="618" t="str">
        <f>+C22</f>
        <v>Frederickson</v>
      </c>
      <c r="K22" s="619">
        <f t="shared" si="1"/>
        <v>6909823.1099999994</v>
      </c>
      <c r="L22" s="1073"/>
      <c r="M22" s="1073"/>
      <c r="N22" s="1073"/>
      <c r="O22" s="1073"/>
      <c r="P22" s="1073"/>
      <c r="Q22" s="1073"/>
      <c r="R22" s="1073"/>
      <c r="S22" s="1073"/>
      <c r="T22" s="1073"/>
      <c r="U22" s="602">
        <f t="shared" si="2"/>
        <v>0</v>
      </c>
      <c r="V22" s="620">
        <f t="shared" si="3"/>
        <v>6909823.1099999994</v>
      </c>
      <c r="W22" s="621">
        <v>1301403.1499999999</v>
      </c>
      <c r="X22" s="621">
        <f t="shared" si="4"/>
        <v>5608419.959999999</v>
      </c>
      <c r="Y22" s="621"/>
      <c r="Z22" s="621"/>
    </row>
    <row r="23" spans="1:26">
      <c r="A23" s="594"/>
      <c r="B23" s="598"/>
      <c r="C23" s="615" t="s">
        <v>312</v>
      </c>
      <c r="D23" s="602"/>
      <c r="E23" s="602"/>
      <c r="F23" s="602">
        <v>3579096.3</v>
      </c>
      <c r="G23" s="602"/>
      <c r="H23" s="622">
        <f t="shared" si="5"/>
        <v>3579096.3</v>
      </c>
      <c r="I23" s="617">
        <v>0</v>
      </c>
      <c r="J23" s="618" t="str">
        <f>+C23</f>
        <v>Fredonia 1-4</v>
      </c>
      <c r="K23" s="619">
        <f t="shared" si="1"/>
        <v>3579096.3</v>
      </c>
      <c r="L23" s="1073"/>
      <c r="M23" s="1073"/>
      <c r="N23" s="1073"/>
      <c r="O23" s="1073"/>
      <c r="P23" s="1073"/>
      <c r="Q23" s="1073"/>
      <c r="R23" s="1073"/>
      <c r="S23" s="1073"/>
      <c r="T23" s="1073"/>
      <c r="U23" s="602">
        <f t="shared" si="2"/>
        <v>0</v>
      </c>
      <c r="V23" s="620">
        <f t="shared" si="3"/>
        <v>3579096.3</v>
      </c>
      <c r="W23" s="621">
        <v>1130103.22</v>
      </c>
      <c r="X23" s="621">
        <f t="shared" si="4"/>
        <v>2448993.08</v>
      </c>
      <c r="Y23" s="621"/>
      <c r="Z23" s="621"/>
    </row>
    <row r="24" spans="1:26">
      <c r="A24" s="594"/>
      <c r="B24" s="598"/>
      <c r="C24" s="615" t="s">
        <v>376</v>
      </c>
      <c r="D24" s="602">
        <v>1513751.96</v>
      </c>
      <c r="E24" s="602"/>
      <c r="F24" s="602">
        <v>3923159.7699999996</v>
      </c>
      <c r="G24" s="602"/>
      <c r="H24" s="622">
        <f t="shared" si="5"/>
        <v>5436911.7299999995</v>
      </c>
      <c r="I24" s="617">
        <v>0</v>
      </c>
      <c r="J24" s="618" t="str">
        <f>+C24</f>
        <v>Sumas</v>
      </c>
      <c r="K24" s="619">
        <f t="shared" si="1"/>
        <v>5436911.7299999995</v>
      </c>
      <c r="L24" s="1073"/>
      <c r="M24" s="1073"/>
      <c r="N24" s="1073"/>
      <c r="O24" s="1298"/>
      <c r="P24" s="1073"/>
      <c r="Q24" s="1073"/>
      <c r="R24" s="1073"/>
      <c r="S24" s="1073"/>
      <c r="T24" s="1073"/>
      <c r="U24" s="602">
        <f t="shared" si="2"/>
        <v>0</v>
      </c>
      <c r="V24" s="620">
        <f t="shared" si="3"/>
        <v>5436911.7299999995</v>
      </c>
      <c r="W24" s="621">
        <v>3594194.17</v>
      </c>
      <c r="X24" s="621">
        <f t="shared" si="4"/>
        <v>1842717.5599999996</v>
      </c>
      <c r="Y24" s="621"/>
      <c r="Z24" s="621"/>
    </row>
    <row r="25" spans="1:26">
      <c r="A25" s="594"/>
      <c r="B25" s="598"/>
      <c r="C25" s="615" t="s">
        <v>1422</v>
      </c>
      <c r="D25" s="602">
        <v>683.42</v>
      </c>
      <c r="E25" s="602">
        <v>1350477.47</v>
      </c>
      <c r="F25" s="602">
        <v>3151654.75</v>
      </c>
      <c r="G25" s="602"/>
      <c r="H25" s="622">
        <f t="shared" si="5"/>
        <v>4502815.6399999997</v>
      </c>
      <c r="I25" s="617">
        <v>0</v>
      </c>
      <c r="J25" s="623" t="str">
        <f>+C25</f>
        <v>Undistrib/Other Including Incentive Clearing, Compliance/BR 24</v>
      </c>
      <c r="K25" s="619">
        <f t="shared" si="1"/>
        <v>4502815.6399999997</v>
      </c>
      <c r="L25" s="1073"/>
      <c r="M25" s="1073"/>
      <c r="N25" s="1073"/>
      <c r="O25" s="1073">
        <f>F51</f>
        <v>-1062519.711304348</v>
      </c>
      <c r="P25" s="1073"/>
      <c r="Q25" s="1073"/>
      <c r="R25" s="1073"/>
      <c r="S25" s="1073"/>
      <c r="T25" s="1296">
        <f>+H50</f>
        <v>-303825</v>
      </c>
      <c r="U25" s="602">
        <f t="shared" si="2"/>
        <v>-1366344.711304348</v>
      </c>
      <c r="V25" s="620">
        <f t="shared" si="3"/>
        <v>3136470.9286956517</v>
      </c>
      <c r="W25" s="621">
        <v>2758806.97</v>
      </c>
      <c r="X25" s="621">
        <f t="shared" si="4"/>
        <v>377663.9586956515</v>
      </c>
      <c r="Y25" s="621"/>
      <c r="Z25" s="621"/>
    </row>
    <row r="26" spans="1:26">
      <c r="A26" s="594"/>
      <c r="B26" s="598"/>
      <c r="C26" s="615" t="s">
        <v>313</v>
      </c>
      <c r="D26" s="602"/>
      <c r="E26" s="602"/>
      <c r="F26" s="602">
        <v>5018911.17</v>
      </c>
      <c r="G26" s="602">
        <v>34200</v>
      </c>
      <c r="H26" s="622">
        <f>SUM(D26:G26)</f>
        <v>5053111.17</v>
      </c>
      <c r="I26" s="617">
        <v>0</v>
      </c>
      <c r="J26" s="618" t="s">
        <v>1242</v>
      </c>
      <c r="K26" s="619">
        <f t="shared" si="1"/>
        <v>5053111.17</v>
      </c>
      <c r="L26" s="1073"/>
      <c r="M26" s="1073"/>
      <c r="N26" s="1073"/>
      <c r="O26" s="1073"/>
      <c r="P26" s="1073">
        <f>H43</f>
        <v>1764154</v>
      </c>
      <c r="Q26" s="1073"/>
      <c r="R26" s="1073">
        <f>H46</f>
        <v>128597</v>
      </c>
      <c r="S26" s="1073"/>
      <c r="T26" s="1073"/>
      <c r="U26" s="602">
        <f t="shared" si="2"/>
        <v>1892751</v>
      </c>
      <c r="V26" s="620">
        <f t="shared" si="3"/>
        <v>6945862.1699999999</v>
      </c>
      <c r="W26" s="621">
        <v>5600937.9763116548</v>
      </c>
      <c r="X26" s="621">
        <f t="shared" si="4"/>
        <v>1344924.1936883451</v>
      </c>
      <c r="Y26" s="621"/>
      <c r="Z26" s="621"/>
    </row>
    <row r="27" spans="1:26">
      <c r="A27" s="594"/>
      <c r="B27" s="598"/>
      <c r="C27" s="615" t="s">
        <v>314</v>
      </c>
      <c r="D27" s="602"/>
      <c r="E27" s="602"/>
      <c r="F27" s="602">
        <v>9900839.0999999996</v>
      </c>
      <c r="G27" s="602">
        <v>34200</v>
      </c>
      <c r="H27" s="622">
        <f>SUM(D27:G27)</f>
        <v>9935039.0999999996</v>
      </c>
      <c r="I27" s="617">
        <v>0</v>
      </c>
      <c r="J27" s="618" t="str">
        <f>+C27</f>
        <v>Wild Horse &amp; Land Lease</v>
      </c>
      <c r="K27" s="619">
        <f t="shared" si="1"/>
        <v>9935039.0999999996</v>
      </c>
      <c r="L27" s="1073"/>
      <c r="M27" s="1073"/>
      <c r="N27" s="1073"/>
      <c r="O27" s="1073"/>
      <c r="P27" s="1073"/>
      <c r="Q27" s="1073">
        <f>H44</f>
        <v>1286457</v>
      </c>
      <c r="R27" s="1073">
        <f>H47</f>
        <v>264123</v>
      </c>
      <c r="S27" s="1073"/>
      <c r="T27" s="1073"/>
      <c r="U27" s="602">
        <f t="shared" si="2"/>
        <v>1550580</v>
      </c>
      <c r="V27" s="620">
        <f t="shared" si="3"/>
        <v>11485619.1</v>
      </c>
      <c r="W27" s="621">
        <v>10492918.287386894</v>
      </c>
      <c r="X27" s="621">
        <f t="shared" si="4"/>
        <v>992700.8126131054</v>
      </c>
      <c r="Y27" s="621"/>
      <c r="Z27" s="621"/>
    </row>
    <row r="28" spans="1:26">
      <c r="A28" s="594"/>
      <c r="B28" s="598"/>
      <c r="C28" s="615" t="s">
        <v>625</v>
      </c>
      <c r="D28" s="602"/>
      <c r="E28" s="602"/>
      <c r="F28" s="602">
        <v>1499393.48</v>
      </c>
      <c r="G28" s="602"/>
      <c r="H28" s="622">
        <f t="shared" si="5"/>
        <v>1499393.48</v>
      </c>
      <c r="I28" s="617">
        <v>0</v>
      </c>
      <c r="J28" s="618" t="str">
        <f>+C28</f>
        <v>Whitehorse Expansion</v>
      </c>
      <c r="K28" s="619">
        <f t="shared" si="1"/>
        <v>1499393.48</v>
      </c>
      <c r="L28" s="1073"/>
      <c r="M28" s="1073"/>
      <c r="N28" s="1073"/>
      <c r="O28" s="1073"/>
      <c r="P28" s="1073"/>
      <c r="Q28" s="1073">
        <f>H45</f>
        <v>26797</v>
      </c>
      <c r="R28" s="1073">
        <f>H48</f>
        <v>51326</v>
      </c>
      <c r="S28" s="1073"/>
      <c r="T28" s="1073"/>
      <c r="U28" s="602">
        <f t="shared" si="2"/>
        <v>78123</v>
      </c>
      <c r="V28" s="620">
        <f t="shared" si="3"/>
        <v>1577516.48</v>
      </c>
      <c r="W28" s="621">
        <v>1951840.7707480057</v>
      </c>
      <c r="X28" s="621">
        <f t="shared" si="4"/>
        <v>-374324.29074800573</v>
      </c>
      <c r="Y28" s="621"/>
      <c r="Z28" s="621"/>
    </row>
    <row r="29" spans="1:26">
      <c r="A29" s="594"/>
      <c r="B29" s="598"/>
      <c r="C29" s="615" t="s">
        <v>626</v>
      </c>
      <c r="D29" s="602"/>
      <c r="E29" s="602"/>
      <c r="F29" s="602"/>
      <c r="G29" s="602"/>
      <c r="H29" s="622">
        <f t="shared" si="5"/>
        <v>0</v>
      </c>
      <c r="I29" s="617">
        <v>0</v>
      </c>
      <c r="J29" s="618" t="str">
        <f>+C29</f>
        <v>Lower Snake River</v>
      </c>
      <c r="K29" s="619">
        <f t="shared" si="1"/>
        <v>0</v>
      </c>
      <c r="L29" s="1073"/>
      <c r="M29" s="1073"/>
      <c r="N29" s="1073"/>
      <c r="O29" s="1073"/>
      <c r="P29" s="1073"/>
      <c r="Q29" s="1073"/>
      <c r="R29" s="1073"/>
      <c r="S29" s="1073">
        <f>H49</f>
        <v>10891023</v>
      </c>
      <c r="T29" s="1073"/>
      <c r="U29" s="602">
        <f t="shared" si="2"/>
        <v>10891023</v>
      </c>
      <c r="V29" s="620">
        <f t="shared" si="3"/>
        <v>10891023</v>
      </c>
      <c r="W29" s="621"/>
      <c r="X29" s="621">
        <f t="shared" si="4"/>
        <v>10891023</v>
      </c>
      <c r="Y29" s="621"/>
      <c r="Z29" s="621"/>
    </row>
    <row r="30" spans="1:26">
      <c r="A30" s="594"/>
      <c r="B30" s="598"/>
      <c r="C30" s="615" t="s">
        <v>1195</v>
      </c>
      <c r="D30" s="602"/>
      <c r="E30" s="602"/>
      <c r="F30" s="602"/>
      <c r="G30" s="602">
        <v>1698447.94</v>
      </c>
      <c r="H30" s="622">
        <f t="shared" si="5"/>
        <v>1698447.94</v>
      </c>
      <c r="I30" s="617">
        <v>0</v>
      </c>
      <c r="J30" s="618" t="str">
        <f>+C30</f>
        <v>Sys Control &amp; Dispatch</v>
      </c>
      <c r="K30" s="619">
        <f t="shared" si="1"/>
        <v>1698447.94</v>
      </c>
      <c r="L30" s="1074"/>
      <c r="M30" s="1075"/>
      <c r="N30" s="1075"/>
      <c r="O30" s="1075"/>
      <c r="P30" s="1075"/>
      <c r="Q30" s="1075"/>
      <c r="R30" s="1075"/>
      <c r="S30" s="1075"/>
      <c r="T30" s="1075"/>
      <c r="U30" s="630">
        <f t="shared" si="2"/>
        <v>0</v>
      </c>
      <c r="V30" s="1076">
        <f t="shared" si="3"/>
        <v>1698447.94</v>
      </c>
      <c r="W30" s="1071">
        <v>1408276.46</v>
      </c>
      <c r="X30" s="621">
        <f t="shared" si="4"/>
        <v>290171.48</v>
      </c>
      <c r="Y30" s="621"/>
    </row>
    <row r="31" spans="1:26" s="632" customFormat="1">
      <c r="A31" s="624"/>
      <c r="B31" s="597"/>
      <c r="C31" s="625" t="s">
        <v>621</v>
      </c>
      <c r="D31" s="626">
        <f>SUM(D6:D30)</f>
        <v>37243601</v>
      </c>
      <c r="E31" s="626">
        <f>SUM(E6:E30)</f>
        <v>20509395.030000001</v>
      </c>
      <c r="F31" s="626">
        <f>SUM(F6:F30)</f>
        <v>49738861.200000003</v>
      </c>
      <c r="G31" s="626">
        <f>SUM(G6:G30)</f>
        <v>1766847.94</v>
      </c>
      <c r="H31" s="627">
        <f>SUM(H6:H30)</f>
        <v>109258705.17</v>
      </c>
      <c r="I31" s="617">
        <v>0</v>
      </c>
      <c r="J31" s="628" t="str">
        <f>+C31</f>
        <v>TY 01/10 - 12/10</v>
      </c>
      <c r="K31" s="629">
        <f t="shared" ref="K31:X31" si="6">SUM(K6:K30)</f>
        <v>109258705.17</v>
      </c>
      <c r="L31" s="630">
        <f t="shared" si="6"/>
        <v>11956364.79342008</v>
      </c>
      <c r="M31" s="630">
        <f t="shared" si="6"/>
        <v>-1359065</v>
      </c>
      <c r="N31" s="630">
        <f t="shared" si="6"/>
        <v>64914</v>
      </c>
      <c r="O31" s="630">
        <f t="shared" si="6"/>
        <v>-416185.66516322829</v>
      </c>
      <c r="P31" s="630">
        <f t="shared" si="6"/>
        <v>1764154</v>
      </c>
      <c r="Q31" s="630">
        <f t="shared" si="6"/>
        <v>1313254</v>
      </c>
      <c r="R31" s="630">
        <f t="shared" si="6"/>
        <v>444046</v>
      </c>
      <c r="S31" s="630">
        <f t="shared" si="6"/>
        <v>10891023</v>
      </c>
      <c r="T31" s="630">
        <f t="shared" si="6"/>
        <v>-303825</v>
      </c>
      <c r="U31" s="630">
        <f t="shared" si="6"/>
        <v>24354680.12825685</v>
      </c>
      <c r="V31" s="1077">
        <f t="shared" si="6"/>
        <v>133613385.29825684</v>
      </c>
      <c r="W31" s="1072">
        <f t="shared" si="6"/>
        <v>112196810.28301026</v>
      </c>
      <c r="X31" s="631">
        <f t="shared" si="6"/>
        <v>21416575.015246589</v>
      </c>
    </row>
    <row r="32" spans="1:26" s="644" customFormat="1">
      <c r="A32" s="633"/>
      <c r="B32" s="634"/>
      <c r="C32" s="634"/>
      <c r="D32" s="634"/>
      <c r="E32" s="634"/>
      <c r="F32" s="634"/>
      <c r="G32" s="635" t="s">
        <v>308</v>
      </c>
      <c r="H32" s="636">
        <v>0</v>
      </c>
      <c r="I32" s="637"/>
      <c r="J32" s="638"/>
      <c r="K32" s="639">
        <f>H31-K31</f>
        <v>0</v>
      </c>
      <c r="L32" s="640"/>
      <c r="M32" s="640"/>
      <c r="N32" s="641"/>
      <c r="O32" s="641"/>
      <c r="P32" s="641"/>
      <c r="Q32" s="641"/>
      <c r="R32" s="641"/>
      <c r="S32" s="641"/>
      <c r="T32" s="641"/>
      <c r="U32" s="641">
        <f>+H53-U31</f>
        <v>0</v>
      </c>
      <c r="V32" s="642">
        <f>SUM(K32:T32)</f>
        <v>0</v>
      </c>
      <c r="W32" s="593"/>
      <c r="X32" s="643">
        <v>0</v>
      </c>
    </row>
    <row r="33" spans="1:22">
      <c r="A33" s="594"/>
      <c r="B33" s="598"/>
      <c r="C33" s="598"/>
      <c r="D33" s="598"/>
      <c r="E33" s="598"/>
      <c r="F33" s="598"/>
      <c r="G33" s="645"/>
      <c r="H33" s="646"/>
      <c r="I33" s="647"/>
      <c r="J33" s="648"/>
      <c r="K33" s="649"/>
      <c r="L33" s="1075" t="s">
        <v>1301</v>
      </c>
      <c r="M33" s="1075" t="s">
        <v>651</v>
      </c>
      <c r="N33" s="1075" t="s">
        <v>652</v>
      </c>
      <c r="O33" s="1075" t="s">
        <v>645</v>
      </c>
      <c r="P33" s="1075" t="s">
        <v>653</v>
      </c>
      <c r="Q33" s="1075" t="s">
        <v>654</v>
      </c>
      <c r="R33" s="1075" t="s">
        <v>648</v>
      </c>
      <c r="S33" s="1075" t="s">
        <v>626</v>
      </c>
      <c r="T33" s="1075" t="s">
        <v>643</v>
      </c>
      <c r="U33" s="650" t="s">
        <v>603</v>
      </c>
      <c r="V33" s="651"/>
    </row>
    <row r="34" spans="1:22" ht="5.25" customHeight="1">
      <c r="A34" s="594"/>
      <c r="B34" s="605"/>
      <c r="C34" s="598"/>
      <c r="D34" s="602"/>
      <c r="E34" s="602"/>
      <c r="F34" s="602"/>
      <c r="G34" s="597"/>
      <c r="H34" s="652"/>
      <c r="I34" s="653"/>
      <c r="J34" s="654"/>
      <c r="U34" s="655"/>
      <c r="V34" s="656"/>
    </row>
    <row r="35" spans="1:22">
      <c r="A35" s="594"/>
      <c r="B35" s="598"/>
      <c r="C35" s="610" t="s">
        <v>1196</v>
      </c>
      <c r="D35" s="597"/>
      <c r="E35" s="598"/>
      <c r="F35" s="598"/>
      <c r="G35" s="598"/>
      <c r="H35" s="604"/>
      <c r="I35" s="653"/>
      <c r="U35" s="657"/>
      <c r="V35" s="654"/>
    </row>
    <row r="36" spans="1:22">
      <c r="A36" s="594">
        <v>1</v>
      </c>
      <c r="B36" s="598"/>
      <c r="C36" s="118" t="s">
        <v>627</v>
      </c>
      <c r="D36" s="659">
        <v>-30182015.119999997</v>
      </c>
      <c r="E36" s="659"/>
      <c r="F36" s="659"/>
      <c r="G36" s="659"/>
      <c r="H36" s="616">
        <f>SUM(D36:G36)</f>
        <v>-30182015.119999997</v>
      </c>
      <c r="I36" s="653"/>
      <c r="J36" s="118"/>
      <c r="K36" s="683"/>
      <c r="O36" s="655"/>
      <c r="U36" s="657"/>
      <c r="V36" s="654"/>
    </row>
    <row r="37" spans="1:22">
      <c r="A37" s="594">
        <v>2</v>
      </c>
      <c r="B37" s="598"/>
      <c r="C37" s="118" t="s">
        <v>628</v>
      </c>
      <c r="D37" s="659">
        <v>2083590</v>
      </c>
      <c r="E37" s="659"/>
      <c r="F37" s="659"/>
      <c r="G37" s="659"/>
      <c r="H37" s="622">
        <f t="shared" ref="H37:H49" si="7">SUM(D37:G37)</f>
        <v>2083590</v>
      </c>
      <c r="I37" s="653"/>
      <c r="J37" s="118"/>
      <c r="K37" s="683"/>
      <c r="O37" s="655"/>
      <c r="U37" s="657"/>
      <c r="V37" s="654"/>
    </row>
    <row r="38" spans="1:22">
      <c r="A38" s="594">
        <f t="shared" ref="A38:A52" si="8">+A37+1</f>
        <v>3</v>
      </c>
      <c r="B38" s="598"/>
      <c r="C38" s="118" t="s">
        <v>629</v>
      </c>
      <c r="D38" s="659">
        <v>40054789.913420089</v>
      </c>
      <c r="E38" s="659"/>
      <c r="F38" s="659"/>
      <c r="G38" s="659"/>
      <c r="H38" s="622">
        <f t="shared" si="7"/>
        <v>40054789.913420089</v>
      </c>
      <c r="I38" s="653"/>
      <c r="J38" s="118"/>
      <c r="K38" s="683"/>
      <c r="O38" s="655"/>
      <c r="U38" s="657"/>
      <c r="V38" s="654"/>
    </row>
    <row r="39" spans="1:22">
      <c r="A39" s="594">
        <f t="shared" si="8"/>
        <v>4</v>
      </c>
      <c r="B39" s="598"/>
      <c r="C39" s="118" t="s">
        <v>630</v>
      </c>
      <c r="D39" s="659"/>
      <c r="E39" s="659">
        <v>-1359065</v>
      </c>
      <c r="F39" s="659"/>
      <c r="G39" s="659"/>
      <c r="H39" s="622">
        <f t="shared" si="7"/>
        <v>-1359065</v>
      </c>
      <c r="I39" s="653"/>
      <c r="J39" s="118"/>
      <c r="K39" s="683"/>
      <c r="O39" s="655"/>
      <c r="U39" s="657"/>
      <c r="V39" s="654"/>
    </row>
    <row r="40" spans="1:22">
      <c r="A40" s="594">
        <f t="shared" si="8"/>
        <v>5</v>
      </c>
      <c r="B40" s="598"/>
      <c r="C40" s="118" t="s">
        <v>631</v>
      </c>
      <c r="D40" s="659"/>
      <c r="E40" s="659">
        <v>64914</v>
      </c>
      <c r="F40" s="659"/>
      <c r="G40" s="659"/>
      <c r="H40" s="622">
        <f t="shared" si="7"/>
        <v>64914</v>
      </c>
      <c r="I40" s="653"/>
      <c r="J40" s="621"/>
      <c r="K40" s="683"/>
      <c r="O40" s="655"/>
      <c r="U40" s="657"/>
      <c r="V40" s="654"/>
    </row>
    <row r="41" spans="1:22">
      <c r="A41" s="594">
        <f t="shared" si="8"/>
        <v>6</v>
      </c>
      <c r="B41" s="598"/>
      <c r="C41" s="1295" t="s">
        <v>632</v>
      </c>
      <c r="D41" s="659">
        <v>-2171101.87</v>
      </c>
      <c r="E41" s="659"/>
      <c r="F41" s="659">
        <v>-1644586.8699999999</v>
      </c>
      <c r="G41" s="659"/>
      <c r="H41" s="622">
        <f t="shared" si="7"/>
        <v>-3815688.74</v>
      </c>
      <c r="I41" s="653"/>
      <c r="J41" s="118"/>
      <c r="K41" s="683"/>
      <c r="O41" s="655"/>
      <c r="U41" s="657"/>
      <c r="V41" s="654"/>
    </row>
    <row r="42" spans="1:22">
      <c r="A42" s="594">
        <f t="shared" si="8"/>
        <v>7</v>
      </c>
      <c r="B42" s="598"/>
      <c r="C42" s="1295" t="s">
        <v>634</v>
      </c>
      <c r="D42" s="659"/>
      <c r="E42" s="659"/>
      <c r="F42" s="659">
        <v>4462022.7861411199</v>
      </c>
      <c r="G42" s="659"/>
      <c r="H42" s="622">
        <f t="shared" si="7"/>
        <v>4462022.7861411199</v>
      </c>
      <c r="I42" s="660"/>
      <c r="K42" s="683"/>
      <c r="O42" s="655"/>
      <c r="U42" s="657"/>
      <c r="V42" s="654"/>
    </row>
    <row r="43" spans="1:22">
      <c r="A43" s="594">
        <f t="shared" si="8"/>
        <v>8</v>
      </c>
      <c r="B43" s="598"/>
      <c r="C43" s="1295" t="s">
        <v>635</v>
      </c>
      <c r="D43" s="661"/>
      <c r="E43" s="661"/>
      <c r="F43" s="662">
        <v>1764154</v>
      </c>
      <c r="G43" s="662"/>
      <c r="H43" s="622">
        <f t="shared" si="7"/>
        <v>1764154</v>
      </c>
      <c r="I43" s="597"/>
      <c r="J43" s="603"/>
      <c r="K43" s="683"/>
    </row>
    <row r="44" spans="1:22">
      <c r="A44" s="594">
        <f t="shared" si="8"/>
        <v>9</v>
      </c>
      <c r="B44" s="598"/>
      <c r="C44" s="1295" t="s">
        <v>636</v>
      </c>
      <c r="D44" s="659"/>
      <c r="E44" s="659"/>
      <c r="F44" s="659">
        <v>1286457</v>
      </c>
      <c r="G44" s="659"/>
      <c r="H44" s="622">
        <f t="shared" si="7"/>
        <v>1286457</v>
      </c>
      <c r="I44" s="597"/>
      <c r="J44" s="603"/>
      <c r="K44" s="683"/>
    </row>
    <row r="45" spans="1:22">
      <c r="A45" s="594">
        <f t="shared" si="8"/>
        <v>10</v>
      </c>
      <c r="B45" s="598"/>
      <c r="C45" s="1295" t="s">
        <v>637</v>
      </c>
      <c r="D45" s="659"/>
      <c r="E45" s="659"/>
      <c r="F45" s="659">
        <v>26797</v>
      </c>
      <c r="G45" s="659"/>
      <c r="H45" s="622">
        <f t="shared" si="7"/>
        <v>26797</v>
      </c>
      <c r="J45" s="603"/>
      <c r="K45" s="683"/>
    </row>
    <row r="46" spans="1:22">
      <c r="A46" s="594">
        <f t="shared" si="8"/>
        <v>11</v>
      </c>
      <c r="B46" s="598"/>
      <c r="C46" s="1295" t="s">
        <v>638</v>
      </c>
      <c r="D46" s="659"/>
      <c r="E46" s="659"/>
      <c r="F46" s="659">
        <v>128597</v>
      </c>
      <c r="G46" s="659"/>
      <c r="H46" s="622">
        <f t="shared" si="7"/>
        <v>128597</v>
      </c>
      <c r="I46" s="597"/>
      <c r="J46" s="603"/>
      <c r="K46" s="683"/>
    </row>
    <row r="47" spans="1:22">
      <c r="A47" s="594">
        <f t="shared" si="8"/>
        <v>12</v>
      </c>
      <c r="B47" s="598"/>
      <c r="C47" s="1295" t="s">
        <v>639</v>
      </c>
      <c r="D47" s="602"/>
      <c r="E47" s="602"/>
      <c r="F47" s="602">
        <v>264123</v>
      </c>
      <c r="G47" s="602"/>
      <c r="H47" s="622">
        <f t="shared" si="7"/>
        <v>264123</v>
      </c>
      <c r="I47" s="597"/>
      <c r="J47" s="603"/>
      <c r="K47" s="683"/>
    </row>
    <row r="48" spans="1:22">
      <c r="A48" s="594">
        <f t="shared" si="8"/>
        <v>13</v>
      </c>
      <c r="B48" s="598"/>
      <c r="C48" s="1295" t="s">
        <v>640</v>
      </c>
      <c r="D48" s="602"/>
      <c r="E48" s="602"/>
      <c r="F48" s="602">
        <v>51326</v>
      </c>
      <c r="G48" s="602"/>
      <c r="H48" s="622">
        <f t="shared" si="7"/>
        <v>51326</v>
      </c>
      <c r="I48" s="597"/>
      <c r="J48" s="603"/>
      <c r="K48" s="683"/>
    </row>
    <row r="49" spans="1:21">
      <c r="A49" s="594">
        <f t="shared" si="8"/>
        <v>14</v>
      </c>
      <c r="B49" s="598"/>
      <c r="C49" s="1295" t="s">
        <v>641</v>
      </c>
      <c r="D49" s="602"/>
      <c r="E49" s="602"/>
      <c r="F49" s="602">
        <v>10891023</v>
      </c>
      <c r="G49" s="602"/>
      <c r="H49" s="622">
        <f t="shared" si="7"/>
        <v>10891023</v>
      </c>
      <c r="I49" s="597"/>
      <c r="J49" s="603"/>
      <c r="K49" s="683"/>
    </row>
    <row r="50" spans="1:21">
      <c r="A50" s="594">
        <f t="shared" si="8"/>
        <v>15</v>
      </c>
      <c r="B50" s="598"/>
      <c r="C50" s="1078" t="s">
        <v>1371</v>
      </c>
      <c r="D50" s="1070"/>
      <c r="E50" s="1070"/>
      <c r="F50" s="1070">
        <v>-303825</v>
      </c>
      <c r="G50" s="1070"/>
      <c r="H50" s="1079">
        <f>SUM(D50:G50)</f>
        <v>-303825</v>
      </c>
      <c r="I50" s="597"/>
      <c r="J50" s="603"/>
      <c r="K50" s="683"/>
    </row>
    <row r="51" spans="1:21">
      <c r="A51" s="594">
        <f t="shared" si="8"/>
        <v>16</v>
      </c>
      <c r="B51" s="598"/>
      <c r="C51" s="1295" t="s">
        <v>1421</v>
      </c>
      <c r="D51" s="602"/>
      <c r="E51" s="602"/>
      <c r="F51" s="1299">
        <v>-1062519.711304348</v>
      </c>
      <c r="G51" s="602"/>
      <c r="H51" s="1079">
        <f>SUM(D51:G51)</f>
        <v>-1062519.711304348</v>
      </c>
      <c r="I51" s="597"/>
      <c r="J51" s="603"/>
      <c r="K51" s="683"/>
    </row>
    <row r="52" spans="1:21">
      <c r="A52" s="594">
        <f t="shared" si="8"/>
        <v>17</v>
      </c>
      <c r="B52" s="598"/>
      <c r="C52" s="658"/>
      <c r="D52" s="602"/>
      <c r="E52" s="602"/>
      <c r="F52" s="602"/>
      <c r="G52" s="602"/>
      <c r="H52" s="1300"/>
      <c r="I52" s="597"/>
      <c r="J52" s="603"/>
      <c r="K52" s="683"/>
    </row>
    <row r="53" spans="1:21">
      <c r="A53" s="594"/>
      <c r="B53" s="598"/>
      <c r="C53" s="664" t="s">
        <v>1197</v>
      </c>
      <c r="D53" s="665">
        <f>SUM(D36:D52)</f>
        <v>9785262.9234200902</v>
      </c>
      <c r="E53" s="665">
        <f>SUM(E36:E52)</f>
        <v>-1294151</v>
      </c>
      <c r="F53" s="665">
        <f>SUM(F36:F52)</f>
        <v>15863568.204836771</v>
      </c>
      <c r="G53" s="665">
        <f>SUM(G36:G52)</f>
        <v>0</v>
      </c>
      <c r="H53" s="666">
        <f>SUM(H36:H52)</f>
        <v>24354680.128256861</v>
      </c>
      <c r="I53" s="653"/>
      <c r="J53" s="667"/>
      <c r="K53" s="683"/>
    </row>
    <row r="54" spans="1:21">
      <c r="A54" s="594"/>
      <c r="B54" s="598"/>
      <c r="C54" s="664"/>
      <c r="D54" s="597"/>
      <c r="E54" s="597"/>
      <c r="F54" s="597"/>
      <c r="G54" s="597"/>
      <c r="H54" s="652"/>
      <c r="I54" s="653"/>
      <c r="J54" s="654"/>
    </row>
    <row r="55" spans="1:21">
      <c r="A55" s="594"/>
      <c r="B55" s="598"/>
      <c r="C55" s="668" t="s">
        <v>316</v>
      </c>
      <c r="D55" s="669" t="s">
        <v>317</v>
      </c>
      <c r="E55" s="631"/>
      <c r="F55" s="631"/>
      <c r="G55" s="631"/>
      <c r="H55" s="670"/>
      <c r="I55" s="671"/>
      <c r="J55" s="597"/>
    </row>
    <row r="56" spans="1:21">
      <c r="A56" s="594"/>
      <c r="B56" s="598"/>
      <c r="C56" s="628" t="str">
        <f t="shared" ref="C56:H56" si="9">C31</f>
        <v>TY 01/10 - 12/10</v>
      </c>
      <c r="D56" s="597">
        <f t="shared" si="9"/>
        <v>37243601</v>
      </c>
      <c r="E56" s="597">
        <f t="shared" si="9"/>
        <v>20509395.030000001</v>
      </c>
      <c r="F56" s="597">
        <f t="shared" si="9"/>
        <v>49738861.200000003</v>
      </c>
      <c r="G56" s="597">
        <f t="shared" si="9"/>
        <v>1766847.94</v>
      </c>
      <c r="H56" s="672">
        <f t="shared" si="9"/>
        <v>109258705.17</v>
      </c>
      <c r="I56" s="673"/>
      <c r="J56" s="597"/>
    </row>
    <row r="57" spans="1:21">
      <c r="A57" s="594"/>
      <c r="B57" s="598"/>
      <c r="C57" s="674" t="s">
        <v>1197</v>
      </c>
      <c r="D57" s="602">
        <f>+D53</f>
        <v>9785262.9234200902</v>
      </c>
      <c r="E57" s="602">
        <f>+E53</f>
        <v>-1294151</v>
      </c>
      <c r="F57" s="602">
        <f>+F53</f>
        <v>15863568.204836771</v>
      </c>
      <c r="G57" s="602">
        <f>+G53</f>
        <v>0</v>
      </c>
      <c r="H57" s="663">
        <f>+H53</f>
        <v>24354680.128256861</v>
      </c>
      <c r="I57" s="617"/>
      <c r="J57" s="602"/>
    </row>
    <row r="58" spans="1:21">
      <c r="A58" s="594"/>
      <c r="B58" s="598"/>
      <c r="C58" s="675" t="s">
        <v>315</v>
      </c>
      <c r="D58" s="676">
        <f>D56+D57</f>
        <v>47028863.923420087</v>
      </c>
      <c r="E58" s="676">
        <f>E56+E57</f>
        <v>19215244.030000001</v>
      </c>
      <c r="F58" s="676">
        <f>F56+F57</f>
        <v>65602429.404836774</v>
      </c>
      <c r="G58" s="676">
        <f>G56+G57</f>
        <v>1766847.94</v>
      </c>
      <c r="H58" s="1301">
        <f>H56+H57</f>
        <v>133613385.29825686</v>
      </c>
      <c r="I58" s="653"/>
      <c r="J58" s="654"/>
    </row>
    <row r="59" spans="1:21" s="598" customFormat="1" ht="9" customHeight="1">
      <c r="A59" s="677"/>
      <c r="B59" s="649"/>
      <c r="C59" s="678"/>
      <c r="D59" s="676"/>
      <c r="E59" s="676"/>
      <c r="F59" s="676"/>
      <c r="G59" s="676"/>
      <c r="H59" s="679"/>
      <c r="I59" s="653"/>
      <c r="J59" s="654"/>
      <c r="L59" s="602"/>
      <c r="M59" s="602"/>
      <c r="N59" s="602"/>
      <c r="O59" s="602"/>
      <c r="P59" s="602"/>
      <c r="Q59" s="602"/>
      <c r="R59" s="602"/>
      <c r="S59" s="602"/>
      <c r="T59" s="602"/>
      <c r="U59" s="602"/>
    </row>
    <row r="60" spans="1:21" ht="5.25" customHeight="1">
      <c r="B60" s="598"/>
      <c r="C60" s="658"/>
      <c r="D60" s="597"/>
      <c r="E60" s="598"/>
      <c r="F60" s="598"/>
      <c r="G60" s="598"/>
      <c r="H60" s="598"/>
      <c r="I60" s="653"/>
      <c r="J60" s="598"/>
    </row>
    <row r="61" spans="1:21" ht="5.25" customHeight="1">
      <c r="B61" s="598"/>
      <c r="C61" s="658"/>
      <c r="D61" s="597"/>
      <c r="E61" s="598"/>
      <c r="F61" s="598"/>
      <c r="G61" s="598"/>
      <c r="H61" s="598"/>
      <c r="I61" s="653"/>
      <c r="J61" s="680"/>
    </row>
    <row r="62" spans="1:21">
      <c r="B62" s="598"/>
      <c r="C62" s="598"/>
      <c r="D62" s="597"/>
      <c r="E62" s="598"/>
      <c r="F62" s="598"/>
      <c r="G62" s="615"/>
      <c r="H62" s="680"/>
      <c r="I62" s="681"/>
      <c r="J62" s="680"/>
    </row>
    <row r="63" spans="1:21">
      <c r="C63"/>
      <c r="D63"/>
      <c r="E63"/>
      <c r="G63" s="682"/>
      <c r="H63" s="683"/>
    </row>
  </sheetData>
  <mergeCells count="1">
    <mergeCell ref="L4:T4"/>
  </mergeCells>
  <phoneticPr fontId="17" type="noConversion"/>
  <printOptions gridLines="1"/>
  <pageMargins left="0.17" right="0.17" top="0.85" bottom="0.38" header="0.5" footer="0.18"/>
  <pageSetup scale="65" fitToWidth="2" orientation="landscape" r:id="rId1"/>
  <headerFooter alignWithMargins="0">
    <oddFooter>&amp;L&amp;F&amp;C&amp;A
&amp;P of &amp;N&amp;R&amp;D</oddFooter>
  </headerFooter>
  <colBreaks count="1" manualBreakCount="1">
    <brk id="9" max="6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>
    <pageSetUpPr autoPageBreaks="0"/>
  </sheetPr>
  <dimension ref="A1:F82"/>
  <sheetViews>
    <sheetView topLeftCell="A46" workbookViewId="0">
      <selection activeCell="B81" sqref="B81:E82"/>
    </sheetView>
  </sheetViews>
  <sheetFormatPr defaultColWidth="10.6640625" defaultRowHeight="12.75"/>
  <cols>
    <col min="1" max="1" width="7.33203125" style="188" customWidth="1"/>
    <col min="2" max="2" width="15.5" style="188" customWidth="1"/>
    <col min="3" max="3" width="64.6640625" style="188" customWidth="1"/>
    <col min="4" max="4" width="29.83203125" style="188" customWidth="1"/>
    <col min="5" max="5" width="18.33203125" style="188" hidden="1" customWidth="1"/>
    <col min="6" max="6" width="14.83203125" style="188" bestFit="1" customWidth="1"/>
    <col min="7" max="16384" width="10.6640625" style="188"/>
  </cols>
  <sheetData>
    <row r="1" spans="1:6">
      <c r="A1" s="184" t="s">
        <v>1284</v>
      </c>
      <c r="B1" s="185"/>
      <c r="C1" s="186"/>
      <c r="D1" s="186"/>
      <c r="E1" s="187"/>
    </row>
    <row r="2" spans="1:6">
      <c r="A2" s="184" t="s">
        <v>1198</v>
      </c>
      <c r="B2" s="185"/>
      <c r="C2" s="186"/>
      <c r="D2" s="186"/>
      <c r="E2" s="187"/>
    </row>
    <row r="3" spans="1:6">
      <c r="A3" s="189" t="s">
        <v>719</v>
      </c>
      <c r="B3" s="185"/>
      <c r="C3" s="186"/>
      <c r="D3" s="186"/>
      <c r="E3" s="187"/>
    </row>
    <row r="4" spans="1:6">
      <c r="B4" s="190"/>
      <c r="C4" s="187"/>
      <c r="D4" s="187"/>
      <c r="E4" s="187"/>
    </row>
    <row r="5" spans="1:6" ht="25.5">
      <c r="A5" s="191" t="s">
        <v>766</v>
      </c>
      <c r="B5" s="191" t="s">
        <v>1199</v>
      </c>
      <c r="C5" s="191" t="s">
        <v>1285</v>
      </c>
      <c r="D5" s="191" t="s">
        <v>486</v>
      </c>
      <c r="E5" s="191" t="s">
        <v>1200</v>
      </c>
    </row>
    <row r="6" spans="1:6">
      <c r="B6" s="192"/>
      <c r="C6" s="192"/>
      <c r="D6" s="192"/>
      <c r="E6" s="192"/>
    </row>
    <row r="7" spans="1:6">
      <c r="A7" s="379">
        <f>ROW()</f>
        <v>7</v>
      </c>
      <c r="B7" s="193" t="s">
        <v>393</v>
      </c>
      <c r="C7" s="187"/>
      <c r="D7"/>
      <c r="E7" s="187"/>
    </row>
    <row r="8" spans="1:6">
      <c r="A8" s="379">
        <f>ROW()</f>
        <v>8</v>
      </c>
      <c r="B8" s="194" t="s">
        <v>394</v>
      </c>
      <c r="C8" s="187"/>
      <c r="D8" s="737">
        <f>D42+D76</f>
        <v>6849513.4899999993</v>
      </c>
      <c r="E8" s="195"/>
    </row>
    <row r="9" spans="1:6">
      <c r="A9" s="379">
        <f>ROW()</f>
        <v>9</v>
      </c>
      <c r="B9" s="196">
        <v>557</v>
      </c>
      <c r="C9" s="194" t="s">
        <v>395</v>
      </c>
      <c r="D9" s="737">
        <f>D43+D77</f>
        <v>1369203.65</v>
      </c>
      <c r="E9" s="197"/>
    </row>
    <row r="10" spans="1:6" ht="13.5" thickBot="1">
      <c r="A10" s="379">
        <f>ROW()</f>
        <v>10</v>
      </c>
      <c r="B10" s="187" t="s">
        <v>396</v>
      </c>
      <c r="C10" s="187"/>
      <c r="D10" s="737">
        <f>SUM(D8:D9)</f>
        <v>8218717.1399999987</v>
      </c>
      <c r="E10" s="195"/>
    </row>
    <row r="11" spans="1:6" ht="14.25" thickTop="1" thickBot="1">
      <c r="A11" s="380">
        <f>ROW()</f>
        <v>11</v>
      </c>
      <c r="B11" s="198"/>
      <c r="C11" s="198"/>
      <c r="D11" s="1009"/>
      <c r="E11" s="192"/>
    </row>
    <row r="12" spans="1:6" ht="16.5" customHeight="1" thickTop="1">
      <c r="A12" s="379">
        <f>ROW()</f>
        <v>12</v>
      </c>
      <c r="B12" s="199" t="s">
        <v>397</v>
      </c>
      <c r="C12" s="200" t="s">
        <v>398</v>
      </c>
      <c r="D12" s="737"/>
      <c r="E12" s="201"/>
    </row>
    <row r="13" spans="1:6">
      <c r="A13" s="379">
        <f>ROW()</f>
        <v>13</v>
      </c>
      <c r="B13" s="194">
        <v>500</v>
      </c>
      <c r="C13" s="194" t="s">
        <v>399</v>
      </c>
      <c r="D13" s="737">
        <v>30440.28</v>
      </c>
      <c r="E13" s="202"/>
      <c r="F13" s="202"/>
    </row>
    <row r="14" spans="1:6">
      <c r="A14" s="379">
        <f>ROW()</f>
        <v>14</v>
      </c>
      <c r="B14" s="194">
        <v>502</v>
      </c>
      <c r="C14" s="194" t="s">
        <v>400</v>
      </c>
      <c r="D14" s="737">
        <v>1422.81</v>
      </c>
      <c r="E14" s="203">
        <f>SUM(D13:D14)</f>
        <v>31863.09</v>
      </c>
      <c r="F14" s="203"/>
    </row>
    <row r="15" spans="1:6">
      <c r="A15" s="379">
        <f>ROW()</f>
        <v>15</v>
      </c>
      <c r="B15" s="194">
        <v>505</v>
      </c>
      <c r="C15" s="194" t="s">
        <v>487</v>
      </c>
      <c r="D15" s="737">
        <v>127.62</v>
      </c>
      <c r="E15" s="203"/>
      <c r="F15" s="203"/>
    </row>
    <row r="16" spans="1:6">
      <c r="A16" s="379">
        <f>ROW()</f>
        <v>16</v>
      </c>
      <c r="B16" s="194">
        <v>506</v>
      </c>
      <c r="C16" s="194" t="s">
        <v>1223</v>
      </c>
      <c r="D16" s="737">
        <v>1354.94</v>
      </c>
      <c r="E16" s="203">
        <f>SUM(D16)</f>
        <v>1354.94</v>
      </c>
      <c r="F16" s="203"/>
    </row>
    <row r="17" spans="1:6">
      <c r="A17" s="379">
        <f>ROW()</f>
        <v>17</v>
      </c>
      <c r="B17" s="194">
        <v>507</v>
      </c>
      <c r="C17" s="194" t="s">
        <v>1278</v>
      </c>
      <c r="D17" s="737">
        <v>0</v>
      </c>
      <c r="E17" s="203"/>
      <c r="F17" s="203"/>
    </row>
    <row r="18" spans="1:6">
      <c r="A18" s="379">
        <f>ROW()</f>
        <v>18</v>
      </c>
      <c r="B18" s="194">
        <v>510</v>
      </c>
      <c r="C18" s="194" t="s">
        <v>1224</v>
      </c>
      <c r="D18" s="737">
        <v>0</v>
      </c>
      <c r="E18" s="203"/>
      <c r="F18" s="203"/>
    </row>
    <row r="19" spans="1:6">
      <c r="A19" s="379">
        <f>ROW()</f>
        <v>19</v>
      </c>
      <c r="B19" s="194">
        <v>511</v>
      </c>
      <c r="C19" s="194" t="s">
        <v>1225</v>
      </c>
      <c r="D19" s="737">
        <v>21088.14</v>
      </c>
      <c r="E19" s="203"/>
      <c r="F19" s="203"/>
    </row>
    <row r="20" spans="1:6">
      <c r="A20" s="379">
        <f>ROW()</f>
        <v>20</v>
      </c>
      <c r="B20" s="194">
        <v>512</v>
      </c>
      <c r="C20" s="194" t="s">
        <v>1226</v>
      </c>
      <c r="D20" s="737">
        <v>85435.33</v>
      </c>
      <c r="E20" s="203"/>
      <c r="F20" s="203"/>
    </row>
    <row r="21" spans="1:6">
      <c r="A21" s="379">
        <f>ROW()</f>
        <v>21</v>
      </c>
      <c r="B21" s="194">
        <v>513</v>
      </c>
      <c r="C21" s="194" t="s">
        <v>401</v>
      </c>
      <c r="D21" s="737">
        <v>65276.47</v>
      </c>
      <c r="E21" s="203">
        <f>SUM(D18:D20)</f>
        <v>106523.47</v>
      </c>
      <c r="F21" s="203"/>
    </row>
    <row r="22" spans="1:6">
      <c r="A22" s="379">
        <f>ROW()</f>
        <v>22</v>
      </c>
      <c r="B22" s="194">
        <v>514</v>
      </c>
      <c r="C22" s="194" t="s">
        <v>1227</v>
      </c>
      <c r="D22" s="737">
        <v>7740.86</v>
      </c>
      <c r="E22" s="203"/>
      <c r="F22" s="203"/>
    </row>
    <row r="23" spans="1:6">
      <c r="A23" s="379">
        <f>ROW()</f>
        <v>23</v>
      </c>
      <c r="B23" s="194">
        <v>535</v>
      </c>
      <c r="C23" s="194" t="s">
        <v>402</v>
      </c>
      <c r="D23" s="737">
        <v>491249.05</v>
      </c>
      <c r="E23" s="203"/>
      <c r="F23" s="203"/>
    </row>
    <row r="24" spans="1:6">
      <c r="A24" s="379">
        <f>ROW()</f>
        <v>24</v>
      </c>
      <c r="B24" s="194">
        <v>537</v>
      </c>
      <c r="C24" s="194" t="s">
        <v>403</v>
      </c>
      <c r="D24" s="737">
        <v>419853.47</v>
      </c>
      <c r="E24" s="203"/>
      <c r="F24" s="203"/>
    </row>
    <row r="25" spans="1:6">
      <c r="A25" s="379">
        <f>ROW()</f>
        <v>25</v>
      </c>
      <c r="B25" s="194">
        <v>538</v>
      </c>
      <c r="C25" s="194" t="s">
        <v>404</v>
      </c>
      <c r="D25" s="737">
        <v>76121.100000000006</v>
      </c>
      <c r="E25" s="203"/>
      <c r="F25" s="203"/>
    </row>
    <row r="26" spans="1:6">
      <c r="A26" s="379">
        <f>ROW()</f>
        <v>26</v>
      </c>
      <c r="B26" s="194">
        <v>539</v>
      </c>
      <c r="C26" s="194" t="s">
        <v>405</v>
      </c>
      <c r="D26" s="737">
        <v>341150.47</v>
      </c>
      <c r="E26" s="203">
        <f>SUM(D21:D25)</f>
        <v>1060240.95</v>
      </c>
      <c r="F26" s="203"/>
    </row>
    <row r="27" spans="1:6">
      <c r="A27" s="379">
        <f>ROW()</f>
        <v>27</v>
      </c>
      <c r="B27" s="194">
        <v>540</v>
      </c>
      <c r="C27" s="194" t="s">
        <v>1279</v>
      </c>
      <c r="D27" s="737">
        <v>0</v>
      </c>
      <c r="E27" s="203"/>
      <c r="F27" s="203"/>
    </row>
    <row r="28" spans="1:6">
      <c r="A28" s="379">
        <f>ROW()</f>
        <v>28</v>
      </c>
      <c r="B28" s="194">
        <v>541</v>
      </c>
      <c r="C28" s="194" t="s">
        <v>406</v>
      </c>
      <c r="D28" s="737">
        <v>459.43</v>
      </c>
      <c r="E28" s="203"/>
      <c r="F28" s="203"/>
    </row>
    <row r="29" spans="1:6">
      <c r="A29" s="379">
        <f>ROW()</f>
        <v>29</v>
      </c>
      <c r="B29" s="194">
        <v>542</v>
      </c>
      <c r="C29" s="194" t="s">
        <v>407</v>
      </c>
      <c r="D29" s="737">
        <v>45585.120000000003</v>
      </c>
      <c r="E29" s="203"/>
      <c r="F29" s="203"/>
    </row>
    <row r="30" spans="1:6">
      <c r="A30" s="379">
        <f>ROW()</f>
        <v>30</v>
      </c>
      <c r="B30" s="194">
        <v>543</v>
      </c>
      <c r="C30" s="194" t="s">
        <v>408</v>
      </c>
      <c r="D30" s="737">
        <v>92285.28</v>
      </c>
      <c r="E30" s="203">
        <f>SUM(D28:D30)</f>
        <v>138329.83000000002</v>
      </c>
      <c r="F30" s="203"/>
    </row>
    <row r="31" spans="1:6">
      <c r="A31" s="379">
        <f>ROW()</f>
        <v>31</v>
      </c>
      <c r="B31" s="194">
        <v>544</v>
      </c>
      <c r="C31" s="194" t="s">
        <v>409</v>
      </c>
      <c r="D31" s="737">
        <v>105254.45</v>
      </c>
      <c r="E31" s="203"/>
      <c r="F31" s="203"/>
    </row>
    <row r="32" spans="1:6">
      <c r="A32" s="379">
        <f>ROW()</f>
        <v>32</v>
      </c>
      <c r="B32" s="194">
        <v>545</v>
      </c>
      <c r="C32" s="194" t="s">
        <v>410</v>
      </c>
      <c r="D32" s="737">
        <v>312650.21999999997</v>
      </c>
      <c r="E32" s="203"/>
      <c r="F32" s="203"/>
    </row>
    <row r="33" spans="1:6">
      <c r="A33" s="379">
        <f>ROW()</f>
        <v>33</v>
      </c>
      <c r="B33" s="194">
        <v>546</v>
      </c>
      <c r="C33" s="194" t="s">
        <v>411</v>
      </c>
      <c r="D33" s="737">
        <v>617111.57999999996</v>
      </c>
      <c r="E33" s="203"/>
      <c r="F33" s="203"/>
    </row>
    <row r="34" spans="1:6">
      <c r="A34" s="379">
        <f>ROW()</f>
        <v>34</v>
      </c>
      <c r="B34" s="194">
        <v>548</v>
      </c>
      <c r="C34" s="194" t="s">
        <v>412</v>
      </c>
      <c r="D34" s="737">
        <v>1408565.52</v>
      </c>
      <c r="E34" s="203"/>
      <c r="F34" s="203"/>
    </row>
    <row r="35" spans="1:6">
      <c r="A35" s="379">
        <f>ROW()</f>
        <v>35</v>
      </c>
      <c r="B35" s="194">
        <v>549</v>
      </c>
      <c r="C35" s="194" t="s">
        <v>413</v>
      </c>
      <c r="D35" s="737">
        <v>302089.57</v>
      </c>
      <c r="E35" s="203"/>
      <c r="F35" s="203"/>
    </row>
    <row r="36" spans="1:6">
      <c r="A36" s="379">
        <f>ROW()</f>
        <v>36</v>
      </c>
      <c r="B36" s="194">
        <v>550</v>
      </c>
      <c r="C36" s="194" t="s">
        <v>1280</v>
      </c>
      <c r="D36" s="737">
        <v>0</v>
      </c>
      <c r="E36" s="203"/>
      <c r="F36" s="203"/>
    </row>
    <row r="37" spans="1:6">
      <c r="A37" s="379">
        <f>ROW()</f>
        <v>37</v>
      </c>
      <c r="B37" s="194">
        <v>551</v>
      </c>
      <c r="C37" s="194" t="s">
        <v>414</v>
      </c>
      <c r="D37" s="737">
        <v>72409.710000000006</v>
      </c>
      <c r="E37" s="203"/>
      <c r="F37" s="203"/>
    </row>
    <row r="38" spans="1:6">
      <c r="A38" s="379">
        <f>ROW()</f>
        <v>38</v>
      </c>
      <c r="B38" s="194">
        <v>552</v>
      </c>
      <c r="C38" s="194" t="s">
        <v>415</v>
      </c>
      <c r="D38" s="737">
        <v>36736.370000000003</v>
      </c>
      <c r="E38" s="203"/>
      <c r="F38" s="203"/>
    </row>
    <row r="39" spans="1:6">
      <c r="A39" s="379">
        <f>ROW()</f>
        <v>39</v>
      </c>
      <c r="B39" s="194">
        <v>553</v>
      </c>
      <c r="C39" s="194" t="s">
        <v>416</v>
      </c>
      <c r="D39" s="737">
        <v>333047.09000000003</v>
      </c>
      <c r="E39" s="203"/>
      <c r="F39" s="203"/>
    </row>
    <row r="40" spans="1:6">
      <c r="A40" s="379">
        <f>ROW()</f>
        <v>40</v>
      </c>
      <c r="B40" s="194">
        <v>554</v>
      </c>
      <c r="C40" s="194" t="s">
        <v>417</v>
      </c>
      <c r="D40" s="737">
        <v>56233.919999999998</v>
      </c>
      <c r="E40" s="203">
        <f>SUM(D31:D40)</f>
        <v>3244098.4299999997</v>
      </c>
      <c r="F40" s="203"/>
    </row>
    <row r="41" spans="1:6">
      <c r="A41" s="379">
        <f>ROW()</f>
        <v>41</v>
      </c>
      <c r="B41" s="194">
        <v>556</v>
      </c>
      <c r="C41" s="194" t="s">
        <v>418</v>
      </c>
      <c r="D41" s="737">
        <v>319909.34999999998</v>
      </c>
      <c r="E41" s="203">
        <f>SUM(D41)</f>
        <v>319909.34999999998</v>
      </c>
      <c r="F41" s="203"/>
    </row>
    <row r="42" spans="1:6">
      <c r="A42" s="379">
        <f>ROW()</f>
        <v>42</v>
      </c>
      <c r="B42" s="194" t="s">
        <v>394</v>
      </c>
      <c r="C42" s="194"/>
      <c r="D42" s="1010">
        <f>SUM(D13:D41)</f>
        <v>5243598.1499999994</v>
      </c>
      <c r="E42" s="204">
        <f>SUM(E13:E41)</f>
        <v>4902320.0599999996</v>
      </c>
    </row>
    <row r="43" spans="1:6">
      <c r="A43" s="379">
        <f>ROW()</f>
        <v>43</v>
      </c>
      <c r="B43" s="194">
        <v>557</v>
      </c>
      <c r="C43" s="194" t="s">
        <v>395</v>
      </c>
      <c r="D43" s="1011">
        <v>1050548.28</v>
      </c>
      <c r="E43" s="203">
        <f>D43</f>
        <v>1050548.28</v>
      </c>
      <c r="F43" s="203"/>
    </row>
    <row r="44" spans="1:6" ht="13.5" thickBot="1">
      <c r="A44" s="379">
        <f>ROW()</f>
        <v>44</v>
      </c>
      <c r="B44" s="194" t="s">
        <v>419</v>
      </c>
      <c r="C44" s="194"/>
      <c r="D44" s="1012">
        <f>SUM(D42:D43)</f>
        <v>6294146.4299999997</v>
      </c>
      <c r="E44" s="205">
        <f>SUM(E42:E43)</f>
        <v>5952868.3399999999</v>
      </c>
    </row>
    <row r="45" spans="1:6" ht="14.25" thickTop="1" thickBot="1">
      <c r="A45" s="380">
        <f>ROW()</f>
        <v>45</v>
      </c>
      <c r="B45" s="206"/>
      <c r="C45" s="206"/>
      <c r="D45" s="1013"/>
      <c r="E45" s="187"/>
    </row>
    <row r="46" spans="1:6" ht="16.5" customHeight="1" thickTop="1">
      <c r="A46" s="379">
        <f>ROW()</f>
        <v>46</v>
      </c>
      <c r="B46" s="199" t="s">
        <v>397</v>
      </c>
      <c r="C46" s="200" t="s">
        <v>420</v>
      </c>
      <c r="D46" s="1014"/>
      <c r="E46" s="201"/>
    </row>
    <row r="47" spans="1:6">
      <c r="A47" s="379">
        <f>ROW()</f>
        <v>47</v>
      </c>
      <c r="B47" s="194">
        <v>500</v>
      </c>
      <c r="C47" s="194" t="s">
        <v>399</v>
      </c>
      <c r="D47" s="1015">
        <v>9460.39</v>
      </c>
      <c r="E47" s="202"/>
      <c r="F47" s="202"/>
    </row>
    <row r="48" spans="1:6">
      <c r="A48" s="379">
        <f>ROW()</f>
        <v>48</v>
      </c>
      <c r="B48" s="194">
        <v>502</v>
      </c>
      <c r="C48" s="194" t="s">
        <v>400</v>
      </c>
      <c r="D48" s="1011">
        <v>451.96</v>
      </c>
      <c r="E48" s="203">
        <f>SUM(D47:D48)</f>
        <v>9912.3499999999985</v>
      </c>
      <c r="F48" s="203"/>
    </row>
    <row r="49" spans="1:6">
      <c r="A49" s="379">
        <f>ROW()</f>
        <v>49</v>
      </c>
      <c r="B49" s="194">
        <v>505</v>
      </c>
      <c r="C49" s="194" t="s">
        <v>487</v>
      </c>
      <c r="D49" s="1011">
        <v>38.78</v>
      </c>
      <c r="E49" s="203"/>
      <c r="F49" s="203"/>
    </row>
    <row r="50" spans="1:6">
      <c r="A50" s="379">
        <f>ROW()</f>
        <v>50</v>
      </c>
      <c r="B50" s="194">
        <v>506</v>
      </c>
      <c r="C50" s="194" t="s">
        <v>1223</v>
      </c>
      <c r="D50" s="1011">
        <v>435.1</v>
      </c>
      <c r="E50" s="203">
        <f>SUM(D50)</f>
        <v>435.1</v>
      </c>
      <c r="F50" s="203"/>
    </row>
    <row r="51" spans="1:6">
      <c r="A51" s="379">
        <f>ROW()</f>
        <v>51</v>
      </c>
      <c r="B51" s="194">
        <v>507</v>
      </c>
      <c r="C51" s="194" t="s">
        <v>1278</v>
      </c>
      <c r="D51" s="1011">
        <v>0</v>
      </c>
      <c r="E51" s="203"/>
      <c r="F51" s="203"/>
    </row>
    <row r="52" spans="1:6">
      <c r="A52" s="379">
        <f>ROW()</f>
        <v>52</v>
      </c>
      <c r="B52" s="194">
        <v>510</v>
      </c>
      <c r="C52" s="194" t="s">
        <v>1224</v>
      </c>
      <c r="D52" s="1011">
        <v>0</v>
      </c>
      <c r="E52" s="203"/>
      <c r="F52" s="203"/>
    </row>
    <row r="53" spans="1:6">
      <c r="A53" s="379">
        <f>ROW()</f>
        <v>53</v>
      </c>
      <c r="B53" s="194">
        <v>511</v>
      </c>
      <c r="C53" s="194" t="s">
        <v>1225</v>
      </c>
      <c r="D53" s="1011">
        <v>6446.57</v>
      </c>
      <c r="E53" s="203"/>
      <c r="F53" s="203"/>
    </row>
    <row r="54" spans="1:6">
      <c r="A54" s="379">
        <f>ROW()</f>
        <v>54</v>
      </c>
      <c r="B54" s="194">
        <v>512</v>
      </c>
      <c r="C54" s="194" t="s">
        <v>1226</v>
      </c>
      <c r="D54" s="1011">
        <v>26178.11</v>
      </c>
      <c r="E54" s="203"/>
      <c r="F54" s="203"/>
    </row>
    <row r="55" spans="1:6">
      <c r="A55" s="379">
        <f>ROW()</f>
        <v>55</v>
      </c>
      <c r="B55" s="194">
        <v>513</v>
      </c>
      <c r="C55" s="194" t="s">
        <v>401</v>
      </c>
      <c r="D55" s="1011">
        <v>20108.599999999999</v>
      </c>
      <c r="E55" s="203">
        <f>SUM(D52:D54)</f>
        <v>32624.68</v>
      </c>
      <c r="F55" s="203"/>
    </row>
    <row r="56" spans="1:6">
      <c r="A56" s="379">
        <f>ROW()</f>
        <v>56</v>
      </c>
      <c r="B56" s="194">
        <v>514</v>
      </c>
      <c r="C56" s="194" t="s">
        <v>1227</v>
      </c>
      <c r="D56" s="1011">
        <v>2399.65</v>
      </c>
      <c r="E56" s="203"/>
      <c r="F56" s="203"/>
    </row>
    <row r="57" spans="1:6">
      <c r="A57" s="379">
        <f>ROW()</f>
        <v>57</v>
      </c>
      <c r="B57" s="194">
        <v>535</v>
      </c>
      <c r="C57" s="194" t="s">
        <v>402</v>
      </c>
      <c r="D57" s="1011">
        <v>150479.75</v>
      </c>
      <c r="E57" s="203"/>
      <c r="F57" s="203"/>
    </row>
    <row r="58" spans="1:6">
      <c r="A58" s="379">
        <f>ROW()</f>
        <v>58</v>
      </c>
      <c r="B58" s="194">
        <v>537</v>
      </c>
      <c r="C58" s="194" t="s">
        <v>403</v>
      </c>
      <c r="D58" s="1011">
        <v>127840.53</v>
      </c>
      <c r="E58" s="203"/>
      <c r="F58" s="203"/>
    </row>
    <row r="59" spans="1:6">
      <c r="A59" s="379">
        <f>ROW()</f>
        <v>59</v>
      </c>
      <c r="B59" s="194">
        <v>538</v>
      </c>
      <c r="C59" s="194" t="s">
        <v>404</v>
      </c>
      <c r="D59" s="1011">
        <v>23325.89</v>
      </c>
      <c r="E59" s="203"/>
      <c r="F59" s="203"/>
    </row>
    <row r="60" spans="1:6">
      <c r="A60" s="379">
        <f>ROW()</f>
        <v>60</v>
      </c>
      <c r="B60" s="194">
        <v>539</v>
      </c>
      <c r="C60" s="194" t="s">
        <v>405</v>
      </c>
      <c r="D60" s="1011">
        <v>103989.13</v>
      </c>
      <c r="E60" s="203">
        <f>SUM(D55:D59)</f>
        <v>324154.42000000004</v>
      </c>
      <c r="F60" s="203"/>
    </row>
    <row r="61" spans="1:6">
      <c r="A61" s="379">
        <f>ROW()</f>
        <v>61</v>
      </c>
      <c r="B61" s="194">
        <v>540</v>
      </c>
      <c r="C61" s="194" t="s">
        <v>1279</v>
      </c>
      <c r="D61" s="1016">
        <v>0</v>
      </c>
      <c r="E61" s="203"/>
      <c r="F61" s="203"/>
    </row>
    <row r="62" spans="1:6">
      <c r="A62" s="379">
        <f>ROW()</f>
        <v>62</v>
      </c>
      <c r="B62" s="194">
        <v>541</v>
      </c>
      <c r="C62" s="194" t="s">
        <v>406</v>
      </c>
      <c r="D62" s="1011">
        <v>137.22</v>
      </c>
      <c r="E62" s="203"/>
      <c r="F62" s="203"/>
    </row>
    <row r="63" spans="1:6">
      <c r="A63" s="379">
        <f>ROW()</f>
        <v>63</v>
      </c>
      <c r="B63" s="194">
        <v>542</v>
      </c>
      <c r="C63" s="194" t="s">
        <v>407</v>
      </c>
      <c r="D63" s="1011">
        <v>13986.58</v>
      </c>
      <c r="E63" s="203"/>
      <c r="F63" s="203"/>
    </row>
    <row r="64" spans="1:6">
      <c r="A64" s="379">
        <f>ROW()</f>
        <v>64</v>
      </c>
      <c r="B64" s="194">
        <v>543</v>
      </c>
      <c r="C64" s="194" t="s">
        <v>408</v>
      </c>
      <c r="D64" s="1011">
        <v>28054.12</v>
      </c>
      <c r="E64" s="203"/>
      <c r="F64" s="203"/>
    </row>
    <row r="65" spans="1:6">
      <c r="A65" s="379">
        <f>ROW()</f>
        <v>65</v>
      </c>
      <c r="B65" s="194">
        <v>544</v>
      </c>
      <c r="C65" s="194" t="s">
        <v>409</v>
      </c>
      <c r="D65" s="1011">
        <v>32134.240000000002</v>
      </c>
      <c r="E65" s="203"/>
      <c r="F65" s="203"/>
    </row>
    <row r="66" spans="1:6">
      <c r="A66" s="379">
        <f>ROW()</f>
        <v>66</v>
      </c>
      <c r="B66" s="194">
        <v>545</v>
      </c>
      <c r="C66" s="194" t="s">
        <v>410</v>
      </c>
      <c r="D66" s="1011">
        <v>95330.47</v>
      </c>
      <c r="E66" s="203"/>
      <c r="F66" s="203"/>
    </row>
    <row r="67" spans="1:6">
      <c r="A67" s="379">
        <f>ROW()</f>
        <v>67</v>
      </c>
      <c r="B67" s="194">
        <v>546</v>
      </c>
      <c r="C67" s="194" t="s">
        <v>411</v>
      </c>
      <c r="D67" s="1011">
        <v>187566.28</v>
      </c>
      <c r="E67" s="203"/>
      <c r="F67" s="203"/>
    </row>
    <row r="68" spans="1:6">
      <c r="A68" s="379">
        <f>ROW()</f>
        <v>68</v>
      </c>
      <c r="B68" s="194">
        <v>548</v>
      </c>
      <c r="C68" s="194" t="s">
        <v>412</v>
      </c>
      <c r="D68" s="1011">
        <v>434524.29</v>
      </c>
      <c r="E68" s="203"/>
      <c r="F68" s="203"/>
    </row>
    <row r="69" spans="1:6">
      <c r="A69" s="379">
        <f>ROW()</f>
        <v>69</v>
      </c>
      <c r="B69" s="194">
        <v>549</v>
      </c>
      <c r="C69" s="194" t="s">
        <v>413</v>
      </c>
      <c r="D69" s="1011">
        <v>92997.48</v>
      </c>
      <c r="E69" s="203">
        <f>SUM(D67:D69)</f>
        <v>715088.04999999993</v>
      </c>
      <c r="F69" s="203"/>
    </row>
    <row r="70" spans="1:6">
      <c r="A70" s="379">
        <f>ROW()</f>
        <v>70</v>
      </c>
      <c r="B70" s="194">
        <v>550</v>
      </c>
      <c r="C70" s="194" t="s">
        <v>1280</v>
      </c>
      <c r="D70" s="1011">
        <v>0</v>
      </c>
      <c r="E70" s="203"/>
      <c r="F70" s="203"/>
    </row>
    <row r="71" spans="1:6">
      <c r="A71" s="379">
        <f>ROW()</f>
        <v>71</v>
      </c>
      <c r="B71" s="194">
        <v>551</v>
      </c>
      <c r="C71" s="194" t="s">
        <v>414</v>
      </c>
      <c r="D71" s="1011">
        <v>22433.67</v>
      </c>
      <c r="E71" s="203"/>
      <c r="F71" s="203"/>
    </row>
    <row r="72" spans="1:6">
      <c r="A72" s="379">
        <f>ROW()</f>
        <v>72</v>
      </c>
      <c r="B72" s="194">
        <v>552</v>
      </c>
      <c r="C72" s="194" t="s">
        <v>415</v>
      </c>
      <c r="D72" s="1011">
        <v>11223.29</v>
      </c>
      <c r="E72" s="203"/>
      <c r="F72" s="203"/>
    </row>
    <row r="73" spans="1:6">
      <c r="A73" s="379">
        <f>ROW()</f>
        <v>73</v>
      </c>
      <c r="B73" s="194">
        <v>553</v>
      </c>
      <c r="C73" s="194" t="s">
        <v>416</v>
      </c>
      <c r="D73" s="1011">
        <v>102443.36</v>
      </c>
      <c r="E73" s="203"/>
      <c r="F73" s="203"/>
    </row>
    <row r="74" spans="1:6">
      <c r="A74" s="379">
        <f>ROW()</f>
        <v>74</v>
      </c>
      <c r="B74" s="194">
        <v>554</v>
      </c>
      <c r="C74" s="194" t="s">
        <v>417</v>
      </c>
      <c r="D74" s="1011">
        <v>17129.27</v>
      </c>
      <c r="E74" s="203">
        <f>SUM(D71:D74)</f>
        <v>153229.59</v>
      </c>
      <c r="F74" s="203"/>
    </row>
    <row r="75" spans="1:6">
      <c r="A75" s="379">
        <f>ROW()</f>
        <v>75</v>
      </c>
      <c r="B75" s="194">
        <v>556</v>
      </c>
      <c r="C75" s="194" t="s">
        <v>418</v>
      </c>
      <c r="D75" s="1011">
        <v>96800.61</v>
      </c>
      <c r="E75" s="203">
        <f>D75</f>
        <v>96800.61</v>
      </c>
      <c r="F75" s="203"/>
    </row>
    <row r="76" spans="1:6">
      <c r="A76" s="379">
        <f>ROW()</f>
        <v>76</v>
      </c>
      <c r="B76" s="194" t="s">
        <v>394</v>
      </c>
      <c r="C76" s="194"/>
      <c r="D76" s="1010">
        <f>SUM(D47:D75)</f>
        <v>1605915.34</v>
      </c>
      <c r="E76" s="204">
        <f>SUM(E47:E75)</f>
        <v>1332244.8000000003</v>
      </c>
    </row>
    <row r="77" spans="1:6">
      <c r="A77" s="379">
        <f>ROW()</f>
        <v>77</v>
      </c>
      <c r="B77" s="194">
        <v>557</v>
      </c>
      <c r="C77" s="194" t="s">
        <v>395</v>
      </c>
      <c r="D77" s="1011">
        <v>318655.37</v>
      </c>
      <c r="E77" s="203">
        <f>D77</f>
        <v>318655.37</v>
      </c>
      <c r="F77" s="203"/>
    </row>
    <row r="78" spans="1:6" ht="13.5" thickBot="1">
      <c r="A78" s="379">
        <f>ROW()</f>
        <v>78</v>
      </c>
      <c r="B78" s="194" t="s">
        <v>419</v>
      </c>
      <c r="C78" s="194"/>
      <c r="D78" s="1012">
        <f>SUM(D76:D77)</f>
        <v>1924570.71</v>
      </c>
      <c r="E78" s="205">
        <f>SUM(E76:E77)</f>
        <v>1650900.1700000004</v>
      </c>
    </row>
    <row r="79" spans="1:6" ht="13.5" thickTop="1">
      <c r="D79" s="1016"/>
    </row>
    <row r="80" spans="1:6">
      <c r="A80" s="336"/>
      <c r="D80" s="187"/>
    </row>
    <row r="81" spans="2:5">
      <c r="B81"/>
      <c r="C81"/>
      <c r="D81"/>
      <c r="E81"/>
    </row>
    <row r="82" spans="2:5">
      <c r="B82"/>
      <c r="C82"/>
      <c r="D82"/>
      <c r="E82"/>
    </row>
  </sheetData>
  <customSheetViews>
    <customSheetView guid="{D358E58B-5EA6-4EB2-8562-4D9FEBA8EA54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"/>
      <headerFooter alignWithMargins="0">
        <oddFooter>&amp;R&amp;D</oddFooter>
      </headerFooter>
    </customSheetView>
    <customSheetView guid="{DD70B4E1-CC64-4568-BFD6-83390A7B0268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"/>
      <headerFooter alignWithMargins="0">
        <oddFooter>&amp;R&amp;D</oddFooter>
      </headerFooter>
    </customSheetView>
    <customSheetView guid="{1E64D771-8C52-4EFE-8F0D-67326F432767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"/>
      <headerFooter alignWithMargins="0">
        <oddFooter>&amp;R&amp;D</oddFooter>
      </headerFooter>
    </customSheetView>
    <customSheetView guid="{8920654A-B782-40BF-9A51-A43F20A27C02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4"/>
      <headerFooter alignWithMargins="0">
        <oddFooter>&amp;R&amp;D</oddFooter>
      </headerFooter>
    </customSheetView>
    <customSheetView guid="{F985D028-064A-46CA-9D34-E4E9B88A9B3C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5"/>
      <headerFooter alignWithMargins="0">
        <oddFooter>&amp;R&amp;D</oddFooter>
      </headerFooter>
    </customSheetView>
    <customSheetView guid="{CD5012F4-E6A6-495E-BF90-5F6D9EE7AF29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6"/>
      <headerFooter alignWithMargins="0">
        <oddFooter>&amp;R&amp;D</oddFooter>
      </headerFooter>
    </customSheetView>
    <customSheetView guid="{14262664-129C-4E9B-8245-4B43AF19E33A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7"/>
      <headerFooter alignWithMargins="0">
        <oddFooter>&amp;R&amp;D</oddFooter>
      </headerFooter>
    </customSheetView>
    <customSheetView guid="{8E7EA697-A1C1-4FA5-9CC7-93304413A154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8"/>
      <headerFooter alignWithMargins="0">
        <oddFooter>&amp;R&amp;D</oddFooter>
      </headerFooter>
    </customSheetView>
    <customSheetView guid="{F531E925-9E0B-409C-9EAA-ADCDD51D6BA7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9"/>
      <headerFooter alignWithMargins="0">
        <oddFooter>&amp;R&amp;D</oddFooter>
      </headerFooter>
    </customSheetView>
    <customSheetView guid="{4840C72E-33E7-45CF-A897-030BC56F6B90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0"/>
      <headerFooter alignWithMargins="0">
        <oddFooter>&amp;R&amp;D</oddFooter>
      </headerFooter>
    </customSheetView>
    <customSheetView guid="{40B7FB48-DAE3-4682-852F-AC0650D2BE14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1"/>
      <headerFooter alignWithMargins="0">
        <oddFooter>&amp;R&amp;D</oddFooter>
      </headerFooter>
    </customSheetView>
    <customSheetView guid="{A3FBC4C2-6ECB-480C-89DD-35506B048870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2"/>
      <headerFooter alignWithMargins="0">
        <oddFooter>&amp;R&amp;D</oddFooter>
      </headerFooter>
    </customSheetView>
    <customSheetView guid="{EDF3DC03-FBB9-4397-9335-6FA548B9B5CD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3"/>
      <headerFooter alignWithMargins="0">
        <oddFooter>&amp;R&amp;D</oddFooter>
      </headerFooter>
    </customSheetView>
    <customSheetView guid="{605C023E-A5C7-400F-9AAA-827B8FDB13A8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4"/>
      <headerFooter alignWithMargins="0">
        <oddFooter>&amp;R&amp;D</oddFooter>
      </headerFooter>
    </customSheetView>
    <customSheetView guid="{3DB8EC99-BD55-4ABF-B71E-F70797B0173C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5"/>
      <headerFooter alignWithMargins="0">
        <oddFooter>&amp;R&amp;D</oddFooter>
      </headerFooter>
    </customSheetView>
    <customSheetView guid="{62EE4FB2-B9F8-4C5D-BC5C-181361F6DD86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6"/>
      <headerFooter alignWithMargins="0">
        <oddFooter>&amp;R&amp;D</oddFooter>
      </headerFooter>
    </customSheetView>
    <customSheetView guid="{BBEC464C-25F9-4835-BB05-13062D5DEAC1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7"/>
      <headerFooter alignWithMargins="0">
        <oddFooter>&amp;R&amp;D</oddFooter>
      </headerFooter>
    </customSheetView>
    <customSheetView guid="{88A240CE-F5A6-4995-A526-0E22BADCFF6D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8"/>
      <headerFooter alignWithMargins="0">
        <oddFooter>&amp;R&amp;D</oddFooter>
      </headerFooter>
    </customSheetView>
    <customSheetView guid="{3834E606-B28A-4696-9192-7BDA898195A1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19"/>
      <headerFooter alignWithMargins="0">
        <oddFooter>&amp;R&amp;D</oddFooter>
      </headerFooter>
    </customSheetView>
    <customSheetView guid="{D564613F-7CF3-40DE-8CDA-0C25C1F35855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0"/>
      <headerFooter alignWithMargins="0">
        <oddFooter>&amp;R&amp;D</oddFooter>
      </headerFooter>
    </customSheetView>
    <customSheetView guid="{BA39091D-C7FC-45D0-82A3-5E4EAAFABA5A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1"/>
      <headerFooter alignWithMargins="0">
        <oddFooter>&amp;R&amp;D</oddFooter>
      </headerFooter>
    </customSheetView>
    <customSheetView guid="{3797879C-3298-4122-A12D-3DFD0284FBDD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2"/>
      <headerFooter alignWithMargins="0">
        <oddFooter>&amp;R&amp;D</oddFooter>
      </headerFooter>
    </customSheetView>
    <customSheetView guid="{46E5C546-9AEA-4E06-B017-805B7E255C92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3"/>
      <headerFooter alignWithMargins="0">
        <oddFooter>&amp;R&amp;D</oddFooter>
      </headerFooter>
    </customSheetView>
    <customSheetView guid="{813D7A4F-EDF6-49ED-B8FD-B74D0B9276AB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4"/>
      <headerFooter alignWithMargins="0">
        <oddFooter>&amp;R&amp;D</oddFooter>
      </headerFooter>
    </customSheetView>
    <customSheetView guid="{28C5A156-92F3-4234-9C7A-A32D75F798CC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5"/>
      <headerFooter alignWithMargins="0">
        <oddFooter>&amp;R&amp;D</oddFooter>
      </headerFooter>
    </customSheetView>
    <customSheetView guid="{E98B4028-3602-46AA-8C00-41FD8ABF8836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6"/>
      <headerFooter alignWithMargins="0">
        <oddFooter>&amp;R&amp;D</oddFooter>
      </headerFooter>
    </customSheetView>
    <customSheetView guid="{41713566-6DDC-4C14-8259-D9C15B9E45DD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7"/>
      <headerFooter alignWithMargins="0">
        <oddFooter>&amp;R&amp;D</oddFooter>
      </headerFooter>
    </customSheetView>
    <customSheetView guid="{990691EF-FF43-4000-BCD8-6862D2BAD44A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8"/>
      <headerFooter alignWithMargins="0">
        <oddFooter>&amp;R&amp;D</oddFooter>
      </headerFooter>
    </customSheetView>
    <customSheetView guid="{17768135-68BF-4539-94C0-50ED7816A698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29"/>
      <headerFooter alignWithMargins="0">
        <oddFooter>&amp;R&amp;D</oddFooter>
      </headerFooter>
    </customSheetView>
    <customSheetView guid="{DF4E3B04-E442-43A1-A47D-E26F6CE7F11C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0"/>
      <headerFooter alignWithMargins="0">
        <oddFooter>&amp;R&amp;D</oddFooter>
      </headerFooter>
    </customSheetView>
    <customSheetView guid="{2DBDF3D7-BA4D-404D-AE4B-DFD7008C0411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1"/>
      <headerFooter alignWithMargins="0">
        <oddFooter>&amp;R&amp;D</oddFooter>
      </headerFooter>
    </customSheetView>
    <customSheetView guid="{423F2953-9177-4482-AE78-C7C47BA8995B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2"/>
      <headerFooter alignWithMargins="0">
        <oddFooter>&amp;R&amp;D</oddFooter>
      </headerFooter>
    </customSheetView>
    <customSheetView guid="{E2C26153-D457-4603-B564-60CFADB5026B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3"/>
      <headerFooter alignWithMargins="0">
        <oddFooter>&amp;R&amp;D</oddFooter>
      </headerFooter>
    </customSheetView>
    <customSheetView guid="{C3CE34FF-D7D7-4ECF-B6E1-4700E3130E94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4"/>
      <headerFooter alignWithMargins="0">
        <oddFooter>&amp;R&amp;D</oddFooter>
      </headerFooter>
    </customSheetView>
    <customSheetView guid="{067119CC-1C61-43DB-B4BB-54397DC63A91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5"/>
      <headerFooter alignWithMargins="0">
        <oddFooter>&amp;R&amp;D</oddFooter>
      </headerFooter>
    </customSheetView>
    <customSheetView guid="{FEFCE477-944B-4DAC-AD75-686CC83D0F0B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6"/>
      <headerFooter alignWithMargins="0">
        <oddFooter>&amp;R&amp;D</oddFooter>
      </headerFooter>
    </customSheetView>
    <customSheetView guid="{D034A8AA-A968-4D12-B6AF-09F53E5CD513}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7"/>
      <headerFooter alignWithMargins="0">
        <oddFooter>&amp;R&amp;D</oddFooter>
      </headerFooter>
    </customSheetView>
    <customSheetView guid="{ACABE5FC-E604-45C9-ACB7-53C863CA19F6}" showPageBreaks="1" hiddenColumns="1" showRuler="0" topLeftCell="A7">
      <selection activeCell="D16" sqref="D16"/>
      <pageMargins left="0.5" right="0.5" top="0.5" bottom="0" header="0.5" footer="0.25"/>
      <printOptions horizontalCentered="1"/>
      <pageSetup scale="93" orientation="portrait" r:id="rId38"/>
      <headerFooter alignWithMargins="0">
        <oddFooter>&amp;R&amp;D</oddFooter>
      </headerFooter>
    </customSheetView>
  </customSheetViews>
  <phoneticPr fontId="17" type="noConversion"/>
  <printOptions horizontalCentered="1"/>
  <pageMargins left="0.5" right="0.5" top="0.5" bottom="0.5" header="0.5" footer="0.25"/>
  <pageSetup orientation="portrait" r:id="rId39"/>
  <headerFooter alignWithMargins="0">
    <oddFooter>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4" enableFormatConditionsCalculation="0">
    <pageSetUpPr autoPageBreaks="0"/>
  </sheetPr>
  <dimension ref="A1:G61"/>
  <sheetViews>
    <sheetView topLeftCell="A7" workbookViewId="0">
      <selection activeCell="D11" sqref="D11"/>
    </sheetView>
  </sheetViews>
  <sheetFormatPr defaultColWidth="10.6640625" defaultRowHeight="12.75"/>
  <cols>
    <col min="1" max="1" width="15.83203125" style="208" customWidth="1"/>
    <col min="2" max="2" width="73.6640625" style="208" customWidth="1"/>
    <col min="3" max="4" width="17" style="208" bestFit="1" customWidth="1"/>
    <col min="5" max="5" width="17.5" style="208" customWidth="1"/>
    <col min="6" max="6" width="48.83203125" style="208" customWidth="1"/>
    <col min="7" max="7" width="51.1640625" style="208" customWidth="1"/>
    <col min="8" max="16384" width="10.6640625" style="208"/>
  </cols>
  <sheetData>
    <row r="1" spans="1:7">
      <c r="A1" s="207"/>
    </row>
    <row r="2" spans="1:7">
      <c r="A2" s="336"/>
    </row>
    <row r="3" spans="1:7">
      <c r="A3" s="207"/>
      <c r="E3" s="209"/>
    </row>
    <row r="4" spans="1:7" ht="30" customHeight="1">
      <c r="A4" s="210" t="s">
        <v>421</v>
      </c>
    </row>
    <row r="5" spans="1:7" ht="15" customHeight="1">
      <c r="A5" s="210"/>
      <c r="F5" s="209"/>
    </row>
    <row r="6" spans="1:7" ht="15" customHeight="1">
      <c r="A6" s="210"/>
    </row>
    <row r="7" spans="1:7" ht="30" customHeight="1">
      <c r="A7" s="211" t="s">
        <v>422</v>
      </c>
      <c r="B7" s="212" t="s">
        <v>1285</v>
      </c>
      <c r="C7" s="213" t="s">
        <v>489</v>
      </c>
      <c r="D7" s="213" t="s">
        <v>170</v>
      </c>
      <c r="E7" s="213" t="s">
        <v>423</v>
      </c>
      <c r="F7" s="214" t="s">
        <v>1228</v>
      </c>
    </row>
    <row r="8" spans="1:7">
      <c r="A8" s="215"/>
      <c r="B8" s="215"/>
      <c r="C8" s="215"/>
      <c r="D8" s="215"/>
      <c r="E8" s="215"/>
      <c r="F8" s="215"/>
    </row>
    <row r="9" spans="1:7">
      <c r="A9" s="459">
        <v>45610002</v>
      </c>
      <c r="B9" s="460" t="s">
        <v>550</v>
      </c>
      <c r="C9" s="737">
        <v>-11644.13</v>
      </c>
      <c r="D9" s="737">
        <v>-11644.13</v>
      </c>
      <c r="E9" s="217">
        <f t="shared" ref="E9:E39" si="0">D9-C9</f>
        <v>0</v>
      </c>
      <c r="F9" s="216"/>
      <c r="G9" s="384"/>
    </row>
    <row r="10" spans="1:7" ht="12.75" customHeight="1">
      <c r="A10" s="459">
        <v>45610004</v>
      </c>
      <c r="B10" s="460" t="s">
        <v>1147</v>
      </c>
      <c r="C10" s="737">
        <v>-29936.18</v>
      </c>
      <c r="D10" s="737">
        <v>-29936.18</v>
      </c>
      <c r="E10" s="218">
        <f t="shared" si="0"/>
        <v>0</v>
      </c>
      <c r="F10" s="216"/>
    </row>
    <row r="11" spans="1:7" ht="12.75" customHeight="1">
      <c r="A11" s="459">
        <v>45610005</v>
      </c>
      <c r="B11" s="460" t="s">
        <v>551</v>
      </c>
      <c r="C11" s="737">
        <v>-4694442.7300000004</v>
      </c>
      <c r="D11" s="1307">
        <f>-5613464.75333333</f>
        <v>-5613464.7533333302</v>
      </c>
      <c r="E11" s="218">
        <f t="shared" si="0"/>
        <v>-919022.02333332971</v>
      </c>
      <c r="F11" s="1308"/>
    </row>
    <row r="12" spans="1:7" ht="12.75" customHeight="1">
      <c r="A12" s="459">
        <v>45610006</v>
      </c>
      <c r="B12" s="460" t="s">
        <v>1148</v>
      </c>
      <c r="C12" s="737">
        <v>-176318.99</v>
      </c>
      <c r="D12" s="737">
        <v>-176318.99</v>
      </c>
      <c r="E12" s="218">
        <f t="shared" si="0"/>
        <v>0</v>
      </c>
      <c r="F12" s="216"/>
    </row>
    <row r="13" spans="1:7">
      <c r="A13" s="459">
        <v>45610010</v>
      </c>
      <c r="B13" s="460" t="s">
        <v>552</v>
      </c>
      <c r="C13" s="737">
        <v>-332304</v>
      </c>
      <c r="D13" s="737">
        <v>-332304</v>
      </c>
      <c r="E13" s="218">
        <f t="shared" si="0"/>
        <v>0</v>
      </c>
      <c r="F13" s="216"/>
      <c r="G13" s="216"/>
    </row>
    <row r="14" spans="1:7">
      <c r="A14" s="459">
        <v>45610011</v>
      </c>
      <c r="B14" s="460" t="s">
        <v>553</v>
      </c>
      <c r="C14" s="737">
        <v>-4575.96</v>
      </c>
      <c r="D14" s="737">
        <v>-4575.96</v>
      </c>
      <c r="E14" s="218">
        <f t="shared" si="0"/>
        <v>0</v>
      </c>
      <c r="F14" s="216"/>
    </row>
    <row r="15" spans="1:7">
      <c r="A15" s="459">
        <v>45610013</v>
      </c>
      <c r="B15" s="460" t="s">
        <v>554</v>
      </c>
      <c r="C15" s="737">
        <v>-664279.79</v>
      </c>
      <c r="D15" s="737">
        <v>-664279.79</v>
      </c>
      <c r="E15" s="218">
        <f t="shared" si="0"/>
        <v>0</v>
      </c>
      <c r="F15" s="216"/>
    </row>
    <row r="16" spans="1:7">
      <c r="A16" s="459">
        <v>45610014</v>
      </c>
      <c r="B16" s="460" t="s">
        <v>555</v>
      </c>
      <c r="C16" s="737">
        <v>-166741.88</v>
      </c>
      <c r="D16" s="737">
        <v>-166741.88</v>
      </c>
      <c r="E16" s="218">
        <f t="shared" si="0"/>
        <v>0</v>
      </c>
      <c r="F16" s="216"/>
    </row>
    <row r="17" spans="1:6">
      <c r="A17" s="459">
        <v>45610015</v>
      </c>
      <c r="B17" s="460" t="s">
        <v>556</v>
      </c>
      <c r="C17" s="737">
        <v>-90893.81</v>
      </c>
      <c r="D17" s="737">
        <v>-90893.81</v>
      </c>
      <c r="E17" s="218">
        <f t="shared" si="0"/>
        <v>0</v>
      </c>
      <c r="F17" s="216"/>
    </row>
    <row r="18" spans="1:6">
      <c r="A18" s="459">
        <v>45610018</v>
      </c>
      <c r="B18" s="460" t="s">
        <v>557</v>
      </c>
      <c r="C18" s="737">
        <v>347231.09</v>
      </c>
      <c r="D18" s="737">
        <v>347231.09</v>
      </c>
      <c r="E18" s="218">
        <f t="shared" si="0"/>
        <v>0</v>
      </c>
      <c r="F18" s="216"/>
    </row>
    <row r="19" spans="1:6">
      <c r="A19" s="459">
        <v>45610019</v>
      </c>
      <c r="B19" s="460" t="s">
        <v>1149</v>
      </c>
      <c r="C19" s="737">
        <v>-18404</v>
      </c>
      <c r="D19" s="737">
        <v>-18404</v>
      </c>
      <c r="E19" s="218">
        <f t="shared" si="0"/>
        <v>0</v>
      </c>
      <c r="F19" s="216"/>
    </row>
    <row r="20" spans="1:6">
      <c r="A20" s="459">
        <v>45610020</v>
      </c>
      <c r="B20" s="460" t="s">
        <v>1150</v>
      </c>
      <c r="C20" s="737">
        <v>-124</v>
      </c>
      <c r="D20" s="737">
        <v>-124</v>
      </c>
      <c r="E20" s="218">
        <f t="shared" si="0"/>
        <v>0</v>
      </c>
      <c r="F20" s="216"/>
    </row>
    <row r="21" spans="1:6">
      <c r="A21" s="459">
        <v>45610021</v>
      </c>
      <c r="B21" s="460" t="s">
        <v>1151</v>
      </c>
      <c r="C21" s="737">
        <v>0</v>
      </c>
      <c r="D21" s="737">
        <v>0</v>
      </c>
      <c r="E21" s="218">
        <f t="shared" si="0"/>
        <v>0</v>
      </c>
      <c r="F21" s="216"/>
    </row>
    <row r="22" spans="1:6">
      <c r="A22" s="459">
        <v>45610022</v>
      </c>
      <c r="B22" s="460" t="s">
        <v>1206</v>
      </c>
      <c r="C22" s="737">
        <v>0</v>
      </c>
      <c r="D22" s="737">
        <v>0</v>
      </c>
      <c r="E22" s="218">
        <f t="shared" si="0"/>
        <v>0</v>
      </c>
      <c r="F22" s="216"/>
    </row>
    <row r="23" spans="1:6">
      <c r="A23" s="459">
        <v>45610030</v>
      </c>
      <c r="B23" s="460" t="s">
        <v>1207</v>
      </c>
      <c r="C23" s="737">
        <v>-500</v>
      </c>
      <c r="D23" s="737">
        <v>-500</v>
      </c>
      <c r="E23" s="218">
        <f t="shared" si="0"/>
        <v>0</v>
      </c>
      <c r="F23" s="219"/>
    </row>
    <row r="24" spans="1:6">
      <c r="A24" s="459">
        <v>45610060</v>
      </c>
      <c r="B24" s="460" t="s">
        <v>547</v>
      </c>
      <c r="C24" s="737">
        <v>-586174.37</v>
      </c>
      <c r="D24" s="737">
        <v>-586174.37</v>
      </c>
      <c r="E24" s="218">
        <f t="shared" si="0"/>
        <v>0</v>
      </c>
      <c r="F24" s="219"/>
    </row>
    <row r="25" spans="1:6">
      <c r="A25" s="459">
        <v>45610061</v>
      </c>
      <c r="B25" s="460" t="s">
        <v>548</v>
      </c>
      <c r="C25" s="737">
        <v>-423717.28</v>
      </c>
      <c r="D25" s="737">
        <v>-423717.28</v>
      </c>
      <c r="E25" s="218">
        <f t="shared" si="0"/>
        <v>0</v>
      </c>
      <c r="F25" s="219"/>
    </row>
    <row r="26" spans="1:6">
      <c r="A26" s="459">
        <v>45610062</v>
      </c>
      <c r="B26" s="460" t="s">
        <v>549</v>
      </c>
      <c r="C26" s="737">
        <v>-1936015.05</v>
      </c>
      <c r="D26" s="737">
        <v>-1936015.05</v>
      </c>
      <c r="E26" s="218">
        <f t="shared" si="0"/>
        <v>0</v>
      </c>
      <c r="F26" s="219"/>
    </row>
    <row r="27" spans="1:6">
      <c r="A27" s="459">
        <v>45610065</v>
      </c>
      <c r="B27" s="460" t="s">
        <v>558</v>
      </c>
      <c r="C27" s="737">
        <v>50272.18</v>
      </c>
      <c r="D27" s="737">
        <v>50272.18</v>
      </c>
      <c r="E27" s="218">
        <f t="shared" si="0"/>
        <v>0</v>
      </c>
      <c r="F27" s="219"/>
    </row>
    <row r="28" spans="1:6">
      <c r="A28" s="459">
        <v>45610067</v>
      </c>
      <c r="B28" s="460" t="s">
        <v>559</v>
      </c>
      <c r="C28" s="737">
        <v>-4993.6099999999997</v>
      </c>
      <c r="D28" s="737">
        <v>-4993.6099999999997</v>
      </c>
      <c r="E28" s="218">
        <f t="shared" si="0"/>
        <v>0</v>
      </c>
      <c r="F28" s="219"/>
    </row>
    <row r="29" spans="1:6">
      <c r="A29" s="459">
        <v>45610068</v>
      </c>
      <c r="B29" s="460" t="s">
        <v>560</v>
      </c>
      <c r="C29" s="737">
        <v>-8233.01</v>
      </c>
      <c r="D29" s="737">
        <v>-8233.01</v>
      </c>
      <c r="E29" s="218">
        <f t="shared" si="0"/>
        <v>0</v>
      </c>
      <c r="F29" s="219"/>
    </row>
    <row r="30" spans="1:6" ht="12.75" customHeight="1">
      <c r="A30" s="459">
        <v>45610069</v>
      </c>
      <c r="B30" s="460" t="s">
        <v>561</v>
      </c>
      <c r="C30" s="737">
        <v>-2316.16</v>
      </c>
      <c r="D30" s="737">
        <v>-2316.16</v>
      </c>
      <c r="E30" s="218">
        <f t="shared" si="0"/>
        <v>0</v>
      </c>
      <c r="F30" s="219"/>
    </row>
    <row r="31" spans="1:6" ht="12.75" customHeight="1">
      <c r="A31" s="459">
        <v>45610070</v>
      </c>
      <c r="B31" s="460" t="s">
        <v>562</v>
      </c>
      <c r="C31" s="737">
        <v>-10933.46</v>
      </c>
      <c r="D31" s="737">
        <v>-10933.46</v>
      </c>
      <c r="E31" s="218">
        <f t="shared" si="0"/>
        <v>0</v>
      </c>
      <c r="F31" s="219"/>
    </row>
    <row r="32" spans="1:6" ht="12.75" customHeight="1">
      <c r="A32" s="459">
        <v>45610071</v>
      </c>
      <c r="B32" s="460" t="s">
        <v>1218</v>
      </c>
      <c r="C32" s="737">
        <v>-15840</v>
      </c>
      <c r="D32" s="737">
        <v>-15840</v>
      </c>
      <c r="E32" s="218">
        <f t="shared" si="0"/>
        <v>0</v>
      </c>
      <c r="F32" s="219"/>
    </row>
    <row r="33" spans="1:6" ht="12.75" customHeight="1">
      <c r="A33" s="459">
        <v>45610072</v>
      </c>
      <c r="B33" s="460" t="s">
        <v>1219</v>
      </c>
      <c r="C33" s="737">
        <v>-43359.96</v>
      </c>
      <c r="D33" s="737">
        <v>-43359.96</v>
      </c>
      <c r="E33" s="218">
        <f t="shared" si="0"/>
        <v>0</v>
      </c>
      <c r="F33" s="219"/>
    </row>
    <row r="34" spans="1:6" ht="12.75" customHeight="1">
      <c r="A34" s="459">
        <v>45610080</v>
      </c>
      <c r="B34" s="460" t="s">
        <v>1208</v>
      </c>
      <c r="C34" s="737">
        <v>-87569.3</v>
      </c>
      <c r="D34" s="737">
        <v>-87569.3</v>
      </c>
      <c r="E34" s="218">
        <f t="shared" si="0"/>
        <v>0</v>
      </c>
      <c r="F34" s="219"/>
    </row>
    <row r="35" spans="1:6" ht="12.75" customHeight="1">
      <c r="A35" s="459">
        <v>45610081</v>
      </c>
      <c r="B35" s="460" t="s">
        <v>1209</v>
      </c>
      <c r="C35" s="737">
        <v>-236428</v>
      </c>
      <c r="D35" s="737">
        <v>-236428</v>
      </c>
      <c r="E35" s="218">
        <f t="shared" si="0"/>
        <v>0</v>
      </c>
      <c r="F35" s="219"/>
    </row>
    <row r="36" spans="1:6" ht="12.75" customHeight="1">
      <c r="A36" s="459">
        <v>45610082</v>
      </c>
      <c r="B36" s="460" t="s">
        <v>1210</v>
      </c>
      <c r="C36" s="737">
        <v>-28167.59</v>
      </c>
      <c r="D36" s="737">
        <v>-28167.59</v>
      </c>
      <c r="E36" s="218">
        <f t="shared" si="0"/>
        <v>0</v>
      </c>
      <c r="F36" s="219"/>
    </row>
    <row r="37" spans="1:6" ht="12.75" customHeight="1">
      <c r="A37" s="459">
        <v>45610083</v>
      </c>
      <c r="B37" s="460" t="s">
        <v>1211</v>
      </c>
      <c r="C37" s="737">
        <v>-43195.61</v>
      </c>
      <c r="D37" s="737">
        <v>-43195.61</v>
      </c>
      <c r="E37" s="218">
        <f t="shared" si="0"/>
        <v>0</v>
      </c>
      <c r="F37" s="219"/>
    </row>
    <row r="38" spans="1:6" ht="12.75" customHeight="1">
      <c r="A38" s="459">
        <v>45610084</v>
      </c>
      <c r="B38" s="460" t="s">
        <v>1212</v>
      </c>
      <c r="C38" s="737">
        <v>-193317.19</v>
      </c>
      <c r="D38" s="737">
        <v>-193317.19</v>
      </c>
      <c r="E38" s="218">
        <f t="shared" si="0"/>
        <v>0</v>
      </c>
      <c r="F38" s="219"/>
    </row>
    <row r="39" spans="1:6" ht="12.75" customHeight="1">
      <c r="A39" s="459">
        <v>45610085</v>
      </c>
      <c r="B39" s="460" t="s">
        <v>488</v>
      </c>
      <c r="C39" s="737">
        <v>-8625</v>
      </c>
      <c r="D39" s="737">
        <v>-8625</v>
      </c>
      <c r="E39" s="218">
        <f t="shared" si="0"/>
        <v>0</v>
      </c>
      <c r="F39" s="219"/>
    </row>
    <row r="40" spans="1:6" ht="12.75" customHeight="1">
      <c r="A40" s="459">
        <v>45610090</v>
      </c>
      <c r="B40" s="460" t="s">
        <v>1213</v>
      </c>
      <c r="C40" s="1005">
        <v>-1281474.8400000001</v>
      </c>
      <c r="D40" s="1005">
        <v>-1281474.8400000001</v>
      </c>
      <c r="E40" s="218"/>
      <c r="F40" s="219"/>
    </row>
    <row r="41" spans="1:6" ht="12.75" customHeight="1">
      <c r="A41" s="459">
        <v>45610095</v>
      </c>
      <c r="B41" s="460" t="s">
        <v>1492</v>
      </c>
      <c r="C41" s="1005" t="s">
        <v>1493</v>
      </c>
      <c r="D41" s="1005">
        <v>-2396160</v>
      </c>
      <c r="E41" s="461">
        <v>-2396160</v>
      </c>
      <c r="F41" s="219"/>
    </row>
    <row r="42" spans="1:6" ht="12.75" customHeight="1">
      <c r="A42" s="220"/>
      <c r="B42" s="221" t="s">
        <v>1</v>
      </c>
      <c r="C42" s="1006">
        <f>SUM(C9:C41)</f>
        <v>-10703022.630000001</v>
      </c>
      <c r="D42" s="1006">
        <f>SUM(D9:D41)</f>
        <v>-14018204.653333331</v>
      </c>
      <c r="E42" s="222">
        <f>SUM(E9:E41)</f>
        <v>-3315182.0233333297</v>
      </c>
      <c r="F42" s="223"/>
    </row>
    <row r="43" spans="1:6" ht="18" customHeight="1">
      <c r="A43" s="224"/>
      <c r="B43" s="225"/>
      <c r="C43" s="1007"/>
      <c r="D43" s="1007"/>
      <c r="E43" s="226"/>
      <c r="F43" s="227"/>
    </row>
    <row r="44" spans="1:6" ht="30" customHeight="1">
      <c r="A44"/>
      <c r="B44"/>
      <c r="C44"/>
      <c r="D44"/>
      <c r="F44" s="228"/>
    </row>
    <row r="45" spans="1:6" ht="30" customHeight="1">
      <c r="C45" s="1008"/>
      <c r="D45" s="1008"/>
      <c r="E45" s="228"/>
      <c r="F45" s="228"/>
    </row>
    <row r="46" spans="1:6">
      <c r="C46" s="1008"/>
      <c r="D46" s="1008"/>
      <c r="E46" s="228"/>
      <c r="F46" s="228"/>
    </row>
    <row r="47" spans="1:6">
      <c r="C47" s="1008"/>
      <c r="D47" s="1008"/>
      <c r="E47" s="228"/>
      <c r="F47" s="228"/>
    </row>
    <row r="48" spans="1:6">
      <c r="C48" s="1008"/>
      <c r="D48" s="1008"/>
      <c r="E48" s="228"/>
      <c r="F48" s="228"/>
    </row>
    <row r="49" spans="1:6">
      <c r="C49" s="1008"/>
      <c r="D49" s="1008"/>
      <c r="E49" s="228"/>
      <c r="F49" s="228"/>
    </row>
    <row r="50" spans="1:6">
      <c r="C50" s="1008"/>
      <c r="D50" s="1008"/>
      <c r="E50" s="228"/>
      <c r="F50" s="228"/>
    </row>
    <row r="51" spans="1:6">
      <c r="C51" s="1008"/>
      <c r="D51" s="1008"/>
      <c r="E51" s="228"/>
      <c r="F51" s="228"/>
    </row>
    <row r="52" spans="1:6">
      <c r="C52" s="228"/>
      <c r="D52" s="228"/>
      <c r="E52" s="228"/>
      <c r="F52" s="228"/>
    </row>
    <row r="53" spans="1:6">
      <c r="C53" s="228"/>
      <c r="D53" s="228"/>
      <c r="E53" s="228"/>
      <c r="F53" s="228"/>
    </row>
    <row r="54" spans="1:6">
      <c r="C54" s="228"/>
      <c r="D54" s="228"/>
      <c r="E54" s="228"/>
      <c r="F54" s="228"/>
    </row>
    <row r="55" spans="1:6">
      <c r="C55" s="228"/>
      <c r="D55" s="228"/>
      <c r="E55" s="228"/>
      <c r="F55" s="228"/>
    </row>
    <row r="56" spans="1:6">
      <c r="C56" s="228"/>
      <c r="D56" s="228"/>
      <c r="E56" s="228"/>
      <c r="F56" s="228"/>
    </row>
    <row r="57" spans="1:6">
      <c r="C57" s="228"/>
      <c r="D57" s="228"/>
      <c r="E57" s="228"/>
      <c r="F57" s="228"/>
    </row>
    <row r="58" spans="1:6">
      <c r="A58" s="229"/>
      <c r="C58" s="228"/>
      <c r="D58" s="228"/>
      <c r="E58" s="228"/>
      <c r="F58" s="228"/>
    </row>
    <row r="59" spans="1:6">
      <c r="C59" s="228"/>
      <c r="D59" s="228"/>
      <c r="E59" s="228"/>
      <c r="F59" s="228"/>
    </row>
    <row r="60" spans="1:6">
      <c r="C60" s="228"/>
      <c r="D60" s="228"/>
      <c r="E60" s="228"/>
      <c r="F60" s="228"/>
    </row>
    <row r="61" spans="1:6">
      <c r="C61" s="228"/>
      <c r="D61" s="228"/>
      <c r="E61" s="228"/>
      <c r="F61" s="228"/>
    </row>
  </sheetData>
  <customSheetViews>
    <customSheetView guid="{D358E58B-5EA6-4EB2-8562-4D9FEBA8EA54}" printArea="1" showRuler="0">
      <pageMargins left="0.23" right="0.37" top="0.25" bottom="0.25" header="0.5" footer="0.5"/>
      <printOptions horizontalCentered="1"/>
      <pageSetup scale="80" orientation="landscape" blackAndWhite="1" r:id="rId1"/>
      <headerFooter alignWithMargins="0"/>
    </customSheetView>
    <customSheetView guid="{DD70B4E1-CC64-4568-BFD6-83390A7B0268}" showRuler="0">
      <pageMargins left="0.23" right="0.37" top="0.25" bottom="0.25" header="0.5" footer="0.5"/>
      <printOptions horizontalCentered="1"/>
      <pageSetup scale="80" orientation="landscape" blackAndWhite="1" r:id="rId2"/>
      <headerFooter alignWithMargins="0"/>
    </customSheetView>
    <customSheetView guid="{1E64D771-8C52-4EFE-8F0D-67326F432767}" showRuler="0">
      <pageMargins left="0.23" right="0.37" top="0.25" bottom="0.25" header="0.5" footer="0.5"/>
      <printOptions horizontalCentered="1"/>
      <pageSetup scale="80" orientation="landscape" blackAndWhite="1" r:id="rId3"/>
      <headerFooter alignWithMargins="0"/>
    </customSheetView>
    <customSheetView guid="{8920654A-B782-40BF-9A51-A43F20A27C02}" showRuler="0">
      <pageMargins left="0.23" right="0.37" top="0.25" bottom="0.25" header="0.5" footer="0.5"/>
      <printOptions horizontalCentered="1"/>
      <pageSetup scale="80" orientation="landscape" blackAndWhite="1" r:id="rId4"/>
      <headerFooter alignWithMargins="0"/>
    </customSheetView>
    <customSheetView guid="{F985D028-064A-46CA-9D34-E4E9B88A9B3C}" showRuler="0">
      <pageMargins left="0.23" right="0.37" top="0.25" bottom="0.25" header="0.5" footer="0.5"/>
      <printOptions horizontalCentered="1"/>
      <pageSetup scale="80" orientation="landscape" blackAndWhite="1" r:id="rId5"/>
      <headerFooter alignWithMargins="0"/>
    </customSheetView>
    <customSheetView guid="{CD5012F4-E6A6-495E-BF90-5F6D9EE7AF29}" showRuler="0">
      <pageMargins left="0.23" right="0.37" top="0.25" bottom="0.25" header="0.5" footer="0.5"/>
      <printOptions horizontalCentered="1"/>
      <pageSetup scale="80" orientation="landscape" blackAndWhite="1" r:id="rId6"/>
      <headerFooter alignWithMargins="0"/>
    </customSheetView>
    <customSheetView guid="{14262664-129C-4E9B-8245-4B43AF19E33A}" showRuler="0">
      <pageMargins left="0.23" right="0.37" top="0.25" bottom="0.25" header="0.5" footer="0.5"/>
      <printOptions horizontalCentered="1"/>
      <pageSetup scale="80" orientation="landscape" blackAndWhite="1" r:id="rId7"/>
      <headerFooter alignWithMargins="0"/>
    </customSheetView>
    <customSheetView guid="{8E7EA697-A1C1-4FA5-9CC7-93304413A154}" showRuler="0">
      <pageMargins left="0.23" right="0.37" top="0.25" bottom="0.25" header="0.5" footer="0.5"/>
      <printOptions horizontalCentered="1"/>
      <pageSetup scale="80" orientation="landscape" blackAndWhite="1" r:id="rId8"/>
      <headerFooter alignWithMargins="0"/>
    </customSheetView>
    <customSheetView guid="{F531E925-9E0B-409C-9EAA-ADCDD51D6BA7}" showRuler="0">
      <pageMargins left="0.23" right="0.37" top="0.25" bottom="0.25" header="0.5" footer="0.5"/>
      <printOptions horizontalCentered="1"/>
      <pageSetup scale="80" orientation="landscape" blackAndWhite="1" r:id="rId9"/>
      <headerFooter alignWithMargins="0"/>
    </customSheetView>
    <customSheetView guid="{4840C72E-33E7-45CF-A897-030BC56F6B90}" showRuler="0">
      <pageMargins left="0.23" right="0.37" top="0.25" bottom="0.25" header="0.5" footer="0.5"/>
      <printOptions horizontalCentered="1"/>
      <pageSetup scale="80" orientation="landscape" blackAndWhite="1" r:id="rId10"/>
      <headerFooter alignWithMargins="0"/>
    </customSheetView>
    <customSheetView guid="{40B7FB48-DAE3-4682-852F-AC0650D2BE14}" showRuler="0">
      <pageMargins left="0.23" right="0.37" top="0.25" bottom="0.25" header="0.5" footer="0.5"/>
      <printOptions horizontalCentered="1"/>
      <pageSetup scale="80" orientation="landscape" blackAndWhite="1" r:id="rId11"/>
      <headerFooter alignWithMargins="0"/>
    </customSheetView>
    <customSheetView guid="{A3FBC4C2-6ECB-480C-89DD-35506B048870}" showRuler="0">
      <pageMargins left="0.23" right="0.37" top="0.25" bottom="0.25" header="0.5" footer="0.5"/>
      <printOptions horizontalCentered="1"/>
      <pageSetup scale="80" orientation="landscape" blackAndWhite="1" r:id="rId12"/>
      <headerFooter alignWithMargins="0"/>
    </customSheetView>
    <customSheetView guid="{EDF3DC03-FBB9-4397-9335-6FA548B9B5CD}" showRuler="0">
      <pageMargins left="0.23" right="0.37" top="0.25" bottom="0.25" header="0.5" footer="0.5"/>
      <printOptions horizontalCentered="1"/>
      <pageSetup scale="80" orientation="landscape" blackAndWhite="1" r:id="rId13"/>
      <headerFooter alignWithMargins="0"/>
    </customSheetView>
    <customSheetView guid="{605C023E-A5C7-400F-9AAA-827B8FDB13A8}" showRuler="0">
      <pageMargins left="0.23" right="0.37" top="0.25" bottom="0.25" header="0.5" footer="0.5"/>
      <printOptions horizontalCentered="1"/>
      <pageSetup scale="80" orientation="landscape" blackAndWhite="1" r:id="rId14"/>
      <headerFooter alignWithMargins="0"/>
    </customSheetView>
    <customSheetView guid="{3DB8EC99-BD55-4ABF-B71E-F70797B0173C}" showRuler="0">
      <pageMargins left="0.23" right="0.37" top="0.25" bottom="0.25" header="0.5" footer="0.5"/>
      <printOptions horizontalCentered="1"/>
      <pageSetup scale="80" orientation="landscape" blackAndWhite="1" r:id="rId15"/>
      <headerFooter alignWithMargins="0"/>
    </customSheetView>
    <customSheetView guid="{62EE4FB2-B9F8-4C5D-BC5C-181361F6DD86}" showRuler="0">
      <pageMargins left="0.23" right="0.37" top="0.25" bottom="0.25" header="0.5" footer="0.5"/>
      <printOptions horizontalCentered="1"/>
      <pageSetup scale="80" orientation="landscape" blackAndWhite="1" r:id="rId16"/>
      <headerFooter alignWithMargins="0"/>
    </customSheetView>
    <customSheetView guid="{BBEC464C-25F9-4835-BB05-13062D5DEAC1}" showRuler="0">
      <pageMargins left="0.23" right="0.37" top="0.25" bottom="0.25" header="0.5" footer="0.5"/>
      <printOptions horizontalCentered="1"/>
      <pageSetup scale="80" orientation="landscape" blackAndWhite="1" r:id="rId17"/>
      <headerFooter alignWithMargins="0"/>
    </customSheetView>
    <customSheetView guid="{88A240CE-F5A6-4995-A526-0E22BADCFF6D}" showRuler="0">
      <pageMargins left="0.23" right="0.37" top="0.25" bottom="0.25" header="0.5" footer="0.5"/>
      <printOptions horizontalCentered="1"/>
      <pageSetup scale="80" orientation="landscape" blackAndWhite="1" r:id="rId18"/>
      <headerFooter alignWithMargins="0"/>
    </customSheetView>
    <customSheetView guid="{3834E606-B28A-4696-9192-7BDA898195A1}" showRuler="0">
      <pageMargins left="0.23" right="0.37" top="0.25" bottom="0.25" header="0.5" footer="0.5"/>
      <printOptions horizontalCentered="1"/>
      <pageSetup scale="80" orientation="landscape" blackAndWhite="1" r:id="rId19"/>
      <headerFooter alignWithMargins="0"/>
    </customSheetView>
    <customSheetView guid="{D564613F-7CF3-40DE-8CDA-0C25C1F35855}" showRuler="0">
      <pageMargins left="0.23" right="0.37" top="0.25" bottom="0.25" header="0.5" footer="0.5"/>
      <printOptions horizontalCentered="1"/>
      <pageSetup scale="80" orientation="landscape" blackAndWhite="1" r:id="rId20"/>
      <headerFooter alignWithMargins="0"/>
    </customSheetView>
    <customSheetView guid="{BA39091D-C7FC-45D0-82A3-5E4EAAFABA5A}" showRuler="0">
      <pageMargins left="0.23" right="0.37" top="0.25" bottom="0.25" header="0.5" footer="0.5"/>
      <printOptions horizontalCentered="1"/>
      <pageSetup scale="80" orientation="landscape" blackAndWhite="1" r:id="rId21"/>
      <headerFooter alignWithMargins="0"/>
    </customSheetView>
    <customSheetView guid="{3797879C-3298-4122-A12D-3DFD0284FBDD}" showRuler="0">
      <pageMargins left="0.23" right="0.37" top="0.25" bottom="0.25" header="0.5" footer="0.5"/>
      <printOptions horizontalCentered="1"/>
      <pageSetup scale="80" orientation="landscape" blackAndWhite="1" r:id="rId22"/>
      <headerFooter alignWithMargins="0"/>
    </customSheetView>
    <customSheetView guid="{46E5C546-9AEA-4E06-B017-805B7E255C92}" showRuler="0">
      <pageMargins left="0.23" right="0.37" top="0.25" bottom="0.25" header="0.5" footer="0.5"/>
      <printOptions horizontalCentered="1"/>
      <pageSetup scale="80" orientation="landscape" blackAndWhite="1" r:id="rId23"/>
      <headerFooter alignWithMargins="0"/>
    </customSheetView>
    <customSheetView guid="{813D7A4F-EDF6-49ED-B8FD-B74D0B9276AB}" showRuler="0">
      <pageMargins left="0.23" right="0.37" top="0.25" bottom="0.25" header="0.5" footer="0.5"/>
      <printOptions horizontalCentered="1"/>
      <pageSetup scale="80" orientation="landscape" blackAndWhite="1" r:id="rId24"/>
      <headerFooter alignWithMargins="0"/>
    </customSheetView>
    <customSheetView guid="{28C5A156-92F3-4234-9C7A-A32D75F798CC}" showRuler="0">
      <pageMargins left="0.23" right="0.37" top="0.25" bottom="0.25" header="0.5" footer="0.5"/>
      <printOptions horizontalCentered="1"/>
      <pageSetup scale="80" orientation="landscape" blackAndWhite="1" r:id="rId25"/>
      <headerFooter alignWithMargins="0"/>
    </customSheetView>
    <customSheetView guid="{E98B4028-3602-46AA-8C00-41FD8ABF8836}" showRuler="0">
      <pageMargins left="0.23" right="0.37" top="0.25" bottom="0.25" header="0.5" footer="0.5"/>
      <printOptions horizontalCentered="1"/>
      <pageSetup scale="80" orientation="landscape" blackAndWhite="1" r:id="rId26"/>
      <headerFooter alignWithMargins="0"/>
    </customSheetView>
    <customSheetView guid="{41713566-6DDC-4C14-8259-D9C15B9E45DD}" showRuler="0">
      <pageMargins left="0.23" right="0.37" top="0.25" bottom="0.25" header="0.5" footer="0.5"/>
      <printOptions horizontalCentered="1"/>
      <pageSetup scale="80" orientation="landscape" blackAndWhite="1" r:id="rId27"/>
      <headerFooter alignWithMargins="0"/>
    </customSheetView>
    <customSheetView guid="{990691EF-FF43-4000-BCD8-6862D2BAD44A}" showRuler="0">
      <pageMargins left="0.23" right="0.37" top="0.25" bottom="0.25" header="0.5" footer="0.5"/>
      <printOptions horizontalCentered="1"/>
      <pageSetup scale="80" orientation="landscape" blackAndWhite="1" r:id="rId28"/>
      <headerFooter alignWithMargins="0"/>
    </customSheetView>
    <customSheetView guid="{17768135-68BF-4539-94C0-50ED7816A698}" showRuler="0">
      <pageMargins left="0.23" right="0.37" top="0.25" bottom="0.25" header="0.5" footer="0.5"/>
      <printOptions horizontalCentered="1"/>
      <pageSetup scale="80" orientation="landscape" blackAndWhite="1" r:id="rId29"/>
      <headerFooter alignWithMargins="0"/>
    </customSheetView>
    <customSheetView guid="{DF4E3B04-E442-43A1-A47D-E26F6CE7F11C}" showRuler="0">
      <pageMargins left="0.23" right="0.37" top="0.25" bottom="0.25" header="0.5" footer="0.5"/>
      <printOptions horizontalCentered="1"/>
      <pageSetup scale="80" orientation="landscape" blackAndWhite="1" r:id="rId30"/>
      <headerFooter alignWithMargins="0"/>
    </customSheetView>
    <customSheetView guid="{2DBDF3D7-BA4D-404D-AE4B-DFD7008C0411}" showRuler="0">
      <pageMargins left="0.23" right="0.37" top="0.25" bottom="0.25" header="0.5" footer="0.5"/>
      <printOptions horizontalCentered="1"/>
      <pageSetup scale="80" orientation="landscape" blackAndWhite="1" r:id="rId31"/>
      <headerFooter alignWithMargins="0"/>
    </customSheetView>
    <customSheetView guid="{423F2953-9177-4482-AE78-C7C47BA8995B}" showRuler="0">
      <pageMargins left="0.23" right="0.37" top="0.25" bottom="0.25" header="0.5" footer="0.5"/>
      <printOptions horizontalCentered="1"/>
      <pageSetup scale="80" orientation="landscape" blackAndWhite="1" r:id="rId32"/>
      <headerFooter alignWithMargins="0"/>
    </customSheetView>
    <customSheetView guid="{E2C26153-D457-4603-B564-60CFADB5026B}" showRuler="0">
      <pageMargins left="0.23" right="0.37" top="0.25" bottom="0.25" header="0.5" footer="0.5"/>
      <printOptions horizontalCentered="1"/>
      <pageSetup scale="80" orientation="landscape" blackAndWhite="1" r:id="rId33"/>
      <headerFooter alignWithMargins="0"/>
    </customSheetView>
    <customSheetView guid="{C3CE34FF-D7D7-4ECF-B6E1-4700E3130E94}" showRuler="0">
      <pageMargins left="0.23" right="0.37" top="0.25" bottom="0.25" header="0.5" footer="0.5"/>
      <printOptions horizontalCentered="1"/>
      <pageSetup scale="80" orientation="landscape" blackAndWhite="1" r:id="rId34"/>
      <headerFooter alignWithMargins="0"/>
    </customSheetView>
    <customSheetView guid="{067119CC-1C61-43DB-B4BB-54397DC63A91}" showRuler="0">
      <pageMargins left="0.23" right="0.37" top="0.25" bottom="0.25" header="0.5" footer="0.5"/>
      <printOptions horizontalCentered="1"/>
      <pageSetup scale="80" orientation="landscape" blackAndWhite="1" r:id="rId35"/>
      <headerFooter alignWithMargins="0"/>
    </customSheetView>
    <customSheetView guid="{FEFCE477-944B-4DAC-AD75-686CC83D0F0B}" printArea="1" showRuler="0">
      <pageMargins left="0.23" right="0.37" top="0.25" bottom="0.25" header="0.5" footer="0.5"/>
      <printOptions horizontalCentered="1"/>
      <pageSetup scale="80" orientation="landscape" blackAndWhite="1" r:id="rId36"/>
      <headerFooter alignWithMargins="0"/>
    </customSheetView>
    <customSheetView guid="{D034A8AA-A968-4D12-B6AF-09F53E5CD513}" printArea="1" showRuler="0">
      <pageMargins left="0.23" right="0.37" top="0.25" bottom="0.25" header="0.5" footer="0.5"/>
      <printOptions horizontalCentered="1"/>
      <pageSetup scale="80" orientation="landscape" blackAndWhite="1" r:id="rId37"/>
      <headerFooter alignWithMargins="0"/>
    </customSheetView>
    <customSheetView guid="{ACABE5FC-E604-45C9-ACB7-53C863CA19F6}" showPageBreaks="1" printArea="1" showRuler="0">
      <pageMargins left="0.23" right="0.37" top="0.25" bottom="0.25" header="0.5" footer="0.5"/>
      <printOptions horizontalCentered="1"/>
      <pageSetup scale="80" orientation="landscape" blackAndWhite="1" r:id="rId38"/>
      <headerFooter alignWithMargins="0"/>
    </customSheetView>
  </customSheetViews>
  <phoneticPr fontId="17" type="noConversion"/>
  <printOptions horizontalCentered="1"/>
  <pageMargins left="0.23" right="0.37" top="0.25" bottom="0.25" header="0.5" footer="0.5"/>
  <pageSetup scale="80" orientation="landscape" blackAndWhite="1" r:id="rId39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M305"/>
  <sheetViews>
    <sheetView zoomScaleNormal="100" workbookViewId="0">
      <pane xSplit="1" ySplit="11" topLeftCell="B12" activePane="bottomRight" state="frozen"/>
      <selection activeCell="D12" sqref="D12"/>
      <selection pane="topRight" activeCell="D12" sqref="D12"/>
      <selection pane="bottomLeft" activeCell="D12" sqref="D12"/>
      <selection pane="bottomRight" activeCell="B12" sqref="B12"/>
    </sheetView>
  </sheetViews>
  <sheetFormatPr defaultColWidth="19.33203125" defaultRowHeight="12.75"/>
  <cols>
    <col min="1" max="1" width="5.83203125" style="7" customWidth="1"/>
    <col min="2" max="2" width="68.83203125" style="7" customWidth="1"/>
    <col min="3" max="3" width="19.83203125" style="7" customWidth="1"/>
    <col min="4" max="4" width="22.1640625" style="7" customWidth="1"/>
    <col min="5" max="5" width="22.5" style="7" customWidth="1"/>
    <col min="6" max="6" width="5.83203125" style="7" customWidth="1"/>
    <col min="7" max="7" width="56.83203125" style="112" customWidth="1"/>
    <col min="8" max="8" width="16.33203125" style="112" bestFit="1" customWidth="1"/>
    <col min="9" max="9" width="22.1640625" style="112" customWidth="1"/>
    <col min="10" max="10" width="18.1640625" style="7" customWidth="1"/>
    <col min="11" max="11" width="7.5" style="7" customWidth="1"/>
    <col min="12" max="12" width="71.83203125" style="7" bestFit="1" customWidth="1"/>
    <col min="13" max="13" width="13.83203125" style="7" bestFit="1" customWidth="1"/>
    <col min="14" max="14" width="15.5" style="7" bestFit="1" customWidth="1"/>
    <col min="15" max="15" width="16.5" style="7" customWidth="1"/>
    <col min="16" max="16" width="6.83203125" style="7" customWidth="1"/>
    <col min="17" max="17" width="37.33203125" style="7" customWidth="1"/>
    <col min="18" max="18" width="6.5" style="7" customWidth="1"/>
    <col min="19" max="19" width="18" style="7" customWidth="1"/>
    <col min="20" max="20" width="25.33203125" style="7" customWidth="1"/>
    <col min="21" max="21" width="6.5" style="7" bestFit="1" customWidth="1"/>
    <col min="22" max="22" width="55.5" style="7" customWidth="1"/>
    <col min="23" max="24" width="16.1640625" style="7" customWidth="1"/>
    <col min="25" max="25" width="23.1640625" style="7" customWidth="1"/>
    <col min="26" max="26" width="6.83203125" style="7" customWidth="1"/>
    <col min="27" max="27" width="45.1640625" style="7" customWidth="1"/>
    <col min="28" max="29" width="19.83203125" style="7" customWidth="1"/>
    <col min="30" max="30" width="24.33203125" style="7" customWidth="1"/>
    <col min="31" max="31" width="7.33203125" style="7" bestFit="1" customWidth="1"/>
    <col min="32" max="32" width="68.5" style="7" customWidth="1"/>
    <col min="33" max="33" width="17.83203125" style="7" customWidth="1"/>
    <col min="34" max="34" width="15.6640625" style="7" customWidth="1"/>
    <col min="35" max="35" width="17.1640625" style="7" customWidth="1"/>
    <col min="36" max="36" width="19.1640625" style="7" customWidth="1"/>
    <col min="37" max="37" width="6.5" style="7" bestFit="1" customWidth="1"/>
    <col min="38" max="38" width="61" style="7" customWidth="1"/>
    <col min="39" max="39" width="14.33203125" style="7" bestFit="1" customWidth="1"/>
    <col min="40" max="40" width="13.83203125" style="7" bestFit="1" customWidth="1"/>
    <col min="41" max="41" width="17.6640625" style="7" customWidth="1"/>
    <col min="42" max="42" width="5.83203125" style="7" customWidth="1"/>
    <col min="43" max="43" width="59.83203125" style="7" customWidth="1"/>
    <col min="44" max="45" width="17.83203125" style="7" customWidth="1"/>
    <col min="46" max="46" width="23.1640625" style="7" customWidth="1"/>
    <col min="47" max="47" width="5.83203125" style="7" customWidth="1"/>
    <col min="48" max="48" width="76.1640625" style="7" customWidth="1"/>
    <col min="49" max="49" width="16.33203125" style="7" bestFit="1" customWidth="1"/>
    <col min="50" max="50" width="18.5" style="7" bestFit="1" customWidth="1"/>
    <col min="51" max="51" width="24.33203125" style="7" customWidth="1"/>
    <col min="52" max="52" width="6.83203125" style="7" customWidth="1"/>
    <col min="53" max="53" width="74" style="7" customWidth="1"/>
    <col min="54" max="54" width="20" style="7" customWidth="1"/>
    <col min="55" max="55" width="18.1640625" style="7" customWidth="1"/>
    <col min="56" max="56" width="17.5" style="7" customWidth="1"/>
    <col min="57" max="57" width="5.1640625" style="7" customWidth="1"/>
    <col min="58" max="58" width="56.1640625" style="7" customWidth="1"/>
    <col min="59" max="59" width="18.6640625" style="7" customWidth="1"/>
    <col min="60" max="60" width="18.1640625" style="7" customWidth="1"/>
    <col min="61" max="61" width="16.83203125" style="7" customWidth="1"/>
    <col min="67" max="67" width="21.6640625" style="7" bestFit="1" customWidth="1"/>
    <col min="68" max="68" width="21.6640625" style="7" customWidth="1"/>
    <col min="69" max="69" width="18.5" style="7" bestFit="1" customWidth="1"/>
    <col min="70" max="70" width="18.83203125" style="7" bestFit="1" customWidth="1"/>
    <col min="71" max="71" width="24.1640625" style="7" customWidth="1"/>
    <col min="72" max="86" width="19.33203125" style="105"/>
    <col min="87" max="87" width="5.83203125" style="7" customWidth="1"/>
    <col min="88" max="88" width="55.1640625" style="109" customWidth="1"/>
    <col min="89" max="89" width="17" style="109" customWidth="1"/>
    <col min="90" max="90" width="15.6640625" style="109" customWidth="1"/>
    <col min="91" max="91" width="22.33203125" style="109" customWidth="1"/>
    <col min="92" max="16384" width="19.33203125" style="105"/>
  </cols>
  <sheetData>
    <row r="1" spans="1:91" ht="13.5" thickBot="1">
      <c r="A1" s="275">
        <f>SUM(B1:EM1)</f>
        <v>0</v>
      </c>
      <c r="B1" s="275"/>
      <c r="C1" s="1480"/>
      <c r="D1" s="1480"/>
      <c r="E1" s="275">
        <f>ROUND(E40-'JHS-19'!D49,0)</f>
        <v>0</v>
      </c>
      <c r="F1" s="275"/>
      <c r="G1" s="275"/>
      <c r="H1" s="275"/>
      <c r="I1" s="338">
        <f>ROUND('JHS-19'!E62-J19,0)</f>
        <v>0</v>
      </c>
      <c r="J1" s="338">
        <f>ROUND(J38-'JHS-19'!E49,0)</f>
        <v>0</v>
      </c>
      <c r="K1" s="275"/>
      <c r="L1" s="338"/>
      <c r="M1" s="338"/>
      <c r="N1" s="338">
        <f>O24-'JHS-19'!F62</f>
        <v>0</v>
      </c>
      <c r="O1" s="338">
        <f>O33-'JHS-19'!F49</f>
        <v>0</v>
      </c>
      <c r="P1" s="275"/>
      <c r="Q1" s="275"/>
      <c r="R1" s="275"/>
      <c r="S1" s="275"/>
      <c r="T1" s="275">
        <f>ROUND(T21-'JHS-19'!G49,0)</f>
        <v>0</v>
      </c>
      <c r="U1" s="289"/>
      <c r="V1" s="289"/>
      <c r="W1" s="289"/>
      <c r="X1" s="289"/>
      <c r="Y1" s="289"/>
      <c r="Z1" s="275"/>
      <c r="AA1" s="275"/>
      <c r="AB1" s="275"/>
      <c r="AC1" s="275"/>
      <c r="AD1" s="277">
        <f>ROUND(AD21-'JHS-19'!I49,0)</f>
        <v>0</v>
      </c>
      <c r="AE1" s="275"/>
      <c r="AF1" s="275"/>
      <c r="AG1" s="275"/>
      <c r="AH1" s="275"/>
      <c r="AI1" s="275"/>
      <c r="AJ1" s="289">
        <f>ROUND(AJ60-'JHS-19'!J49,0)</f>
        <v>0</v>
      </c>
      <c r="AK1" s="289"/>
      <c r="AL1" s="289"/>
      <c r="AM1" s="289"/>
      <c r="AN1" s="289"/>
      <c r="AO1" s="289"/>
      <c r="AP1" s="275"/>
      <c r="AQ1" s="338"/>
      <c r="AR1" s="338"/>
      <c r="AS1" s="338">
        <f>AT25-'JHS-19'!L51</f>
        <v>0</v>
      </c>
      <c r="AT1" s="338">
        <f>AT32-'JHS-19'!L49</f>
        <v>0</v>
      </c>
      <c r="AU1" s="275"/>
      <c r="AV1" s="275"/>
      <c r="AW1" s="275"/>
      <c r="AX1" s="338">
        <f>ROUND(AY34-'JHS-19'!M62,0)</f>
        <v>0</v>
      </c>
      <c r="AY1" s="338">
        <f>ROUND(AY63-'JHS-19'!M49,0)</f>
        <v>0</v>
      </c>
      <c r="AZ1" s="289"/>
      <c r="BA1" s="275"/>
      <c r="BB1" s="275"/>
      <c r="BC1" s="275">
        <f>ROUND(BC107-'JHS-19'!N62,0)</f>
        <v>0</v>
      </c>
      <c r="BD1" s="289">
        <f>ROUND(BD69-'JHS-19'!N49,0)</f>
        <v>0</v>
      </c>
      <c r="BE1" s="338"/>
      <c r="BF1" s="338"/>
      <c r="BG1" s="338"/>
      <c r="BH1" s="338">
        <f>BI28-'JHS-19'!O51</f>
        <v>0</v>
      </c>
      <c r="BI1" s="338">
        <f>BI22-'JHS-19'!O49</f>
        <v>0</v>
      </c>
    </row>
    <row r="2" spans="1:91" s="7" customFormat="1" ht="16.5" thickBot="1">
      <c r="A2" s="16"/>
      <c r="B2" s="1481" t="s">
        <v>1491</v>
      </c>
      <c r="C2" s="1479"/>
      <c r="D2" s="1479"/>
      <c r="E2" s="1" t="str">
        <f>DocketNumber</f>
        <v>Docket Number UE-111048</v>
      </c>
      <c r="F2" s="16"/>
      <c r="G2" s="1481" t="s">
        <v>1491</v>
      </c>
      <c r="J2" s="1" t="str">
        <f>DocketNumber</f>
        <v>Docket Number UE-111048</v>
      </c>
      <c r="L2" s="1481" t="s">
        <v>1491</v>
      </c>
      <c r="M2" s="339"/>
      <c r="N2" s="339"/>
      <c r="O2" s="1" t="str">
        <f>DocketNumber</f>
        <v>Docket Number UE-111048</v>
      </c>
      <c r="P2" s="16"/>
      <c r="Q2" s="1481" t="s">
        <v>1491</v>
      </c>
      <c r="T2" s="1" t="str">
        <f>DocketNumber</f>
        <v>Docket Number UE-111048</v>
      </c>
      <c r="U2" s="1"/>
      <c r="V2" s="1481" t="s">
        <v>1491</v>
      </c>
      <c r="W2" s="1"/>
      <c r="X2" s="1"/>
      <c r="Y2" s="1" t="str">
        <f>DocketNumber</f>
        <v>Docket Number UE-111048</v>
      </c>
      <c r="Z2" s="16"/>
      <c r="AA2" s="1481" t="s">
        <v>1491</v>
      </c>
      <c r="AD2" s="1" t="str">
        <f>DocketNumber</f>
        <v>Docket Number UE-111048</v>
      </c>
      <c r="AE2" s="16"/>
      <c r="AF2" s="1481" t="s">
        <v>1491</v>
      </c>
      <c r="AG2" s="111"/>
      <c r="AH2" s="111"/>
      <c r="AI2" s="111"/>
      <c r="AJ2" s="1" t="str">
        <f>DocketNumber</f>
        <v>Docket Number UE-111048</v>
      </c>
      <c r="AK2" s="1"/>
      <c r="AL2" s="1481" t="s">
        <v>1491</v>
      </c>
      <c r="AM2" s="1"/>
      <c r="AN2" s="1"/>
      <c r="AO2" s="1" t="str">
        <f>DocketNumber</f>
        <v>Docket Number UE-111048</v>
      </c>
      <c r="AQ2" s="1481" t="s">
        <v>1491</v>
      </c>
      <c r="AR2" s="339"/>
      <c r="AS2" s="339"/>
      <c r="AT2" s="1" t="str">
        <f>DocketNumber</f>
        <v>Docket Number UE-111048</v>
      </c>
      <c r="AU2" s="16"/>
      <c r="AV2" s="1481" t="s">
        <v>1491</v>
      </c>
      <c r="AW2" s="1"/>
      <c r="AX2" s="1"/>
      <c r="AY2" s="1" t="str">
        <f>DocketNumber</f>
        <v>Docket Number UE-111048</v>
      </c>
      <c r="AZ2" s="16"/>
      <c r="BA2" s="1481" t="s">
        <v>1491</v>
      </c>
      <c r="BD2" s="1" t="str">
        <f>DocketNumber</f>
        <v>Docket Number UE-111048</v>
      </c>
      <c r="BE2" s="739"/>
      <c r="BF2" s="1481" t="s">
        <v>1491</v>
      </c>
      <c r="BG2" s="739"/>
      <c r="BH2" s="739"/>
      <c r="BI2" s="744" t="str">
        <f>DocketNumber</f>
        <v>Docket Number UE-111048</v>
      </c>
    </row>
    <row r="3" spans="1:91" s="1" customFormat="1" ht="13.5" thickBot="1">
      <c r="E3" s="1" t="s">
        <v>1364</v>
      </c>
      <c r="J3" s="1" t="str">
        <f>Exhibit_No._____JHS_05</f>
        <v>Exhibit No.    (JHS-20)</v>
      </c>
      <c r="O3" s="1" t="str">
        <f>Exhibit_No._____JHS_05</f>
        <v>Exhibit No.    (JHS-20)</v>
      </c>
      <c r="T3" s="1" t="str">
        <f>Exhibit_No._____JHS_05</f>
        <v>Exhibit No.    (JHS-20)</v>
      </c>
      <c r="Y3" s="1" t="str">
        <f>Exhibit_No._____JHS_05</f>
        <v>Exhibit No.    (JHS-20)</v>
      </c>
      <c r="AD3" s="1" t="str">
        <f>Exhibit_No._____JHS_05</f>
        <v>Exhibit No.    (JHS-20)</v>
      </c>
      <c r="AJ3" s="1" t="str">
        <f>Exhibit_No._____JHS_05</f>
        <v>Exhibit No.    (JHS-20)</v>
      </c>
      <c r="AO3" s="1" t="str">
        <f>Exhibit_No._____JHS_05</f>
        <v>Exhibit No.    (JHS-20)</v>
      </c>
      <c r="AT3" s="1" t="str">
        <f>Exhibit_No._____JHS_05</f>
        <v>Exhibit No.    (JHS-20)</v>
      </c>
      <c r="AY3" s="1" t="str">
        <f>Exhibit_No._____JHS_05</f>
        <v>Exhibit No.    (JHS-20)</v>
      </c>
      <c r="BD3" s="1" t="str">
        <f>Exhibit_No._____JHS_05</f>
        <v>Exhibit No.    (JHS-20)</v>
      </c>
      <c r="BI3" s="1" t="str">
        <f>Exhibit_No._____JHS_05</f>
        <v>Exhibit No.    (JHS-20)</v>
      </c>
    </row>
    <row r="4" spans="1:91" s="7" customFormat="1" ht="13.5" thickBot="1">
      <c r="A4" s="16"/>
      <c r="B4" s="114"/>
      <c r="C4" s="80"/>
      <c r="D4" s="80"/>
      <c r="E4" s="458">
        <v>20.010000000000002</v>
      </c>
      <c r="F4" s="473"/>
      <c r="G4" s="473"/>
      <c r="H4" s="473"/>
      <c r="I4" s="473"/>
      <c r="J4" s="458">
        <f>E4+0.01</f>
        <v>20.020000000000003</v>
      </c>
      <c r="K4" s="473"/>
      <c r="L4" s="473"/>
      <c r="M4" s="473"/>
      <c r="N4" s="473"/>
      <c r="O4" s="458">
        <f>J4+0.01</f>
        <v>20.030000000000005</v>
      </c>
      <c r="P4" s="16"/>
      <c r="Q4" s="16"/>
      <c r="R4" s="16"/>
      <c r="S4" s="16"/>
      <c r="T4" s="458">
        <f>O4+0.01</f>
        <v>20.040000000000006</v>
      </c>
      <c r="U4" s="519"/>
      <c r="V4" s="519"/>
      <c r="W4" s="519"/>
      <c r="X4" s="519"/>
      <c r="Y4" s="458">
        <f>T4+0.01</f>
        <v>20.050000000000008</v>
      </c>
      <c r="Z4" s="50"/>
      <c r="AA4" s="1"/>
      <c r="AB4" s="1"/>
      <c r="AC4" s="1"/>
      <c r="AD4" s="458">
        <f>Y4+0.01</f>
        <v>20.060000000000009</v>
      </c>
      <c r="AE4" s="117"/>
      <c r="AF4" s="117"/>
      <c r="AG4" s="117"/>
      <c r="AH4" s="117"/>
      <c r="AI4" s="117"/>
      <c r="AJ4" s="458">
        <f>AD4+0.01</f>
        <v>20.070000000000011</v>
      </c>
      <c r="AK4" s="105"/>
      <c r="AL4" s="105"/>
      <c r="AM4" s="105"/>
      <c r="AN4" s="105"/>
      <c r="AO4" s="458">
        <f>AJ4+0.01</f>
        <v>20.080000000000013</v>
      </c>
      <c r="AP4" s="16"/>
      <c r="AQ4" s="339"/>
      <c r="AR4" s="339"/>
      <c r="AS4" s="331"/>
      <c r="AT4" s="458">
        <f>AO4+0.01</f>
        <v>20.090000000000014</v>
      </c>
      <c r="AU4" s="339"/>
      <c r="AV4" s="339"/>
      <c r="AW4" s="331"/>
      <c r="AX4" s="339"/>
      <c r="AY4" s="458">
        <f>AT4+0.01</f>
        <v>20.100000000000016</v>
      </c>
      <c r="AZ4" s="16"/>
      <c r="BA4" s="16"/>
      <c r="BB4" s="16"/>
      <c r="BC4" s="16"/>
      <c r="BD4" s="458">
        <f>AY4+0.01</f>
        <v>20.110000000000017</v>
      </c>
      <c r="BE4" s="739"/>
      <c r="BF4" s="744" t="s">
        <v>1398</v>
      </c>
      <c r="BG4" s="739"/>
      <c r="BH4" s="739"/>
      <c r="BI4" s="458">
        <f>BD4+0.01</f>
        <v>20.120000000000019</v>
      </c>
    </row>
    <row r="5" spans="1:91" s="7" customFormat="1">
      <c r="A5" s="250" t="s">
        <v>1235</v>
      </c>
      <c r="B5" s="250"/>
      <c r="C5" s="251"/>
      <c r="D5" s="251"/>
      <c r="E5" s="251"/>
      <c r="F5" s="250" t="s">
        <v>1235</v>
      </c>
      <c r="G5" s="250"/>
      <c r="H5" s="251"/>
      <c r="I5" s="251"/>
      <c r="J5" s="251"/>
      <c r="K5" s="250" t="s">
        <v>1235</v>
      </c>
      <c r="L5" s="250"/>
      <c r="M5" s="251"/>
      <c r="N5" s="251"/>
      <c r="O5" s="251"/>
      <c r="P5" s="18" t="s">
        <v>1235</v>
      </c>
      <c r="Q5" s="17"/>
      <c r="R5" s="17"/>
      <c r="S5" s="17"/>
      <c r="T5" s="17"/>
      <c r="U5" s="18" t="s">
        <v>1235</v>
      </c>
      <c r="V5" s="17"/>
      <c r="W5" s="17"/>
      <c r="X5" s="17"/>
      <c r="Y5" s="17"/>
      <c r="Z5" s="18" t="s">
        <v>1235</v>
      </c>
      <c r="AA5" s="17"/>
      <c r="AB5" s="17"/>
      <c r="AC5" s="17"/>
      <c r="AD5" s="17"/>
      <c r="AE5" s="18" t="s">
        <v>1235</v>
      </c>
      <c r="AF5" s="17"/>
      <c r="AG5" s="17"/>
      <c r="AH5" s="17"/>
      <c r="AI5" s="17"/>
      <c r="AJ5" s="17"/>
      <c r="AK5" s="18" t="s">
        <v>1235</v>
      </c>
      <c r="AL5" s="17"/>
      <c r="AM5" s="17"/>
      <c r="AN5" s="17"/>
      <c r="AO5" s="17"/>
      <c r="AP5" s="1487" t="s">
        <v>1235</v>
      </c>
      <c r="AQ5" s="1487"/>
      <c r="AR5" s="1487"/>
      <c r="AS5" s="1487"/>
      <c r="AT5" s="1487"/>
      <c r="AU5" s="250" t="s">
        <v>1235</v>
      </c>
      <c r="AV5" s="250"/>
      <c r="AW5" s="251"/>
      <c r="AX5" s="251"/>
      <c r="AY5" s="251"/>
      <c r="AZ5" s="1487" t="s">
        <v>1235</v>
      </c>
      <c r="BA5" s="1487"/>
      <c r="BB5" s="1487"/>
      <c r="BC5" s="1487"/>
      <c r="BD5" s="1487"/>
      <c r="BE5" s="1487" t="s">
        <v>1235</v>
      </c>
      <c r="BF5" s="1487"/>
      <c r="BG5" s="1487"/>
      <c r="BH5" s="1487"/>
      <c r="BI5" s="1487"/>
    </row>
    <row r="6" spans="1:91" s="7" customFormat="1">
      <c r="A6" s="251" t="s">
        <v>144</v>
      </c>
      <c r="B6" s="251"/>
      <c r="C6" s="251"/>
      <c r="D6" s="251"/>
      <c r="E6" s="19"/>
      <c r="F6" s="251" t="s">
        <v>707</v>
      </c>
      <c r="G6" s="251"/>
      <c r="H6" s="251"/>
      <c r="I6" s="251"/>
      <c r="J6" s="19"/>
      <c r="K6" s="251" t="s">
        <v>708</v>
      </c>
      <c r="L6" s="251"/>
      <c r="M6" s="251"/>
      <c r="N6" s="251"/>
      <c r="O6" s="19"/>
      <c r="P6" s="17" t="s">
        <v>943</v>
      </c>
      <c r="Q6" s="17"/>
      <c r="R6" s="17"/>
      <c r="S6" s="17"/>
      <c r="T6" s="19"/>
      <c r="U6" s="17" t="s">
        <v>709</v>
      </c>
      <c r="V6" s="17"/>
      <c r="W6" s="17"/>
      <c r="X6" s="17"/>
      <c r="Y6" s="17"/>
      <c r="Z6" s="17" t="s">
        <v>281</v>
      </c>
      <c r="AA6" s="19"/>
      <c r="AB6" s="19"/>
      <c r="AC6" s="19"/>
      <c r="AD6" s="19"/>
      <c r="AE6" s="17" t="s">
        <v>710</v>
      </c>
      <c r="AF6" s="17"/>
      <c r="AG6" s="17"/>
      <c r="AH6" s="17"/>
      <c r="AI6" s="17"/>
      <c r="AJ6" s="17"/>
      <c r="AK6" s="17" t="s">
        <v>479</v>
      </c>
      <c r="AL6" s="17"/>
      <c r="AM6" s="17"/>
      <c r="AN6" s="17"/>
      <c r="AO6" s="17"/>
      <c r="AP6" s="1487" t="s">
        <v>711</v>
      </c>
      <c r="AQ6" s="1487"/>
      <c r="AR6" s="1487"/>
      <c r="AS6" s="1487"/>
      <c r="AT6" s="1487"/>
      <c r="AU6" s="251" t="s">
        <v>712</v>
      </c>
      <c r="AV6" s="251"/>
      <c r="AW6" s="251"/>
      <c r="AX6" s="251"/>
      <c r="AY6" s="19"/>
      <c r="AZ6" s="17" t="s">
        <v>142</v>
      </c>
      <c r="BA6" s="17"/>
      <c r="BB6" s="17"/>
      <c r="BC6" s="17"/>
      <c r="BD6" s="19"/>
      <c r="BE6" s="1487" t="s">
        <v>464</v>
      </c>
      <c r="BF6" s="1487"/>
      <c r="BG6" s="1487"/>
      <c r="BH6" s="1487"/>
      <c r="BI6" s="1487"/>
    </row>
    <row r="7" spans="1:91">
      <c r="A7" s="17" t="str">
        <f>TESTYEAR</f>
        <v>FOR THE TWELVE MONTHS ENDED DECEMBER 31, 2010</v>
      </c>
      <c r="B7" s="17"/>
      <c r="C7" s="18"/>
      <c r="D7" s="17"/>
      <c r="E7" s="17"/>
      <c r="F7" s="251" t="s">
        <v>521</v>
      </c>
      <c r="G7" s="251"/>
      <c r="H7" s="251"/>
      <c r="I7" s="251"/>
      <c r="J7" s="20"/>
      <c r="K7" s="251" t="s">
        <v>521</v>
      </c>
      <c r="L7" s="251"/>
      <c r="M7" s="251"/>
      <c r="N7" s="251"/>
      <c r="O7" s="20"/>
      <c r="P7" s="17" t="str">
        <f>TESTYEAR</f>
        <v>FOR THE TWELVE MONTHS ENDED DECEMBER 31, 2010</v>
      </c>
      <c r="Q7" s="17"/>
      <c r="R7" s="17"/>
      <c r="S7" s="17"/>
      <c r="T7" s="20"/>
      <c r="U7" s="17" t="str">
        <f>TESTYEAR</f>
        <v>FOR THE TWELVE MONTHS ENDED DECEMBER 31, 2010</v>
      </c>
      <c r="V7" s="17"/>
      <c r="W7" s="17"/>
      <c r="X7" s="17"/>
      <c r="Y7" s="17"/>
      <c r="Z7" s="17" t="str">
        <f>TESTYEAR</f>
        <v>FOR THE TWELVE MONTHS ENDED DECEMBER 31, 2010</v>
      </c>
      <c r="AA7" s="20"/>
      <c r="AB7" s="20"/>
      <c r="AC7" s="20"/>
      <c r="AD7" s="20"/>
      <c r="AE7" s="17" t="str">
        <f>TESTYEAR</f>
        <v>FOR THE TWELVE MONTHS ENDED DECEMBER 31, 2010</v>
      </c>
      <c r="AF7" s="17"/>
      <c r="AG7" s="17"/>
      <c r="AH7" s="17"/>
      <c r="AI7" s="17"/>
      <c r="AJ7" s="17"/>
      <c r="AK7" s="17" t="str">
        <f>TESTYEAR</f>
        <v>FOR THE TWELVE MONTHS ENDED DECEMBER 31, 2010</v>
      </c>
      <c r="AL7" s="17"/>
      <c r="AM7" s="17"/>
      <c r="AN7" s="17"/>
      <c r="AO7" s="17"/>
      <c r="AP7" s="1487" t="str">
        <f>TESTYEAR</f>
        <v>FOR THE TWELVE MONTHS ENDED DECEMBER 31, 2010</v>
      </c>
      <c r="AQ7" s="1487"/>
      <c r="AR7" s="1487"/>
      <c r="AS7" s="1487"/>
      <c r="AT7" s="1487"/>
      <c r="AU7" s="463" t="s">
        <v>521</v>
      </c>
      <c r="AV7" s="251"/>
      <c r="AW7" s="251"/>
      <c r="AX7" s="251"/>
      <c r="AY7" s="20"/>
      <c r="AZ7" s="17" t="str">
        <f>TESTYEAR</f>
        <v>FOR THE TWELVE MONTHS ENDED DECEMBER 31, 2010</v>
      </c>
      <c r="BA7" s="17"/>
      <c r="BB7" s="17"/>
      <c r="BC7" s="17"/>
      <c r="BD7" s="20"/>
      <c r="BE7" s="1487" t="str">
        <f>TESTYEAR</f>
        <v>FOR THE TWELVE MONTHS ENDED DECEMBER 31, 2010</v>
      </c>
      <c r="BF7" s="1487"/>
      <c r="BG7" s="1487"/>
      <c r="BH7" s="1487"/>
      <c r="BI7" s="1487"/>
    </row>
    <row r="8" spans="1:91">
      <c r="A8" s="18" t="s">
        <v>57</v>
      </c>
      <c r="B8" s="17"/>
      <c r="C8" s="18"/>
      <c r="D8" s="18"/>
      <c r="E8" s="18"/>
      <c r="F8" s="251" t="s">
        <v>57</v>
      </c>
      <c r="G8" s="251"/>
      <c r="H8" s="251"/>
      <c r="I8" s="251"/>
      <c r="J8" s="20"/>
      <c r="K8" s="251" t="s">
        <v>57</v>
      </c>
      <c r="L8" s="251"/>
      <c r="M8" s="251"/>
      <c r="N8" s="251"/>
      <c r="O8" s="20"/>
      <c r="P8" s="243" t="s">
        <v>57</v>
      </c>
      <c r="Q8" s="243"/>
      <c r="R8" s="243"/>
      <c r="S8" s="243"/>
      <c r="T8" s="243"/>
      <c r="U8" s="17" t="s">
        <v>57</v>
      </c>
      <c r="V8" s="17"/>
      <c r="W8" s="17"/>
      <c r="X8" s="17"/>
      <c r="Y8" s="17"/>
      <c r="Z8" s="18" t="s">
        <v>57</v>
      </c>
      <c r="AA8" s="17"/>
      <c r="AB8" s="17"/>
      <c r="AC8" s="17"/>
      <c r="AD8" s="17"/>
      <c r="AE8" s="18" t="s">
        <v>57</v>
      </c>
      <c r="AF8" s="17"/>
      <c r="AG8" s="17"/>
      <c r="AH8" s="17"/>
      <c r="AI8" s="17"/>
      <c r="AJ8" s="17"/>
      <c r="AK8" s="17" t="s">
        <v>57</v>
      </c>
      <c r="AL8" s="17"/>
      <c r="AM8" s="17"/>
      <c r="AN8" s="17"/>
      <c r="AO8" s="17"/>
      <c r="AP8" s="1487" t="s">
        <v>57</v>
      </c>
      <c r="AQ8" s="1487"/>
      <c r="AR8" s="1487"/>
      <c r="AS8" s="1487"/>
      <c r="AT8" s="1487"/>
      <c r="AU8" s="463" t="s">
        <v>492</v>
      </c>
      <c r="AV8" s="251"/>
      <c r="AW8" s="251"/>
      <c r="AX8" s="251"/>
      <c r="AY8" s="20"/>
      <c r="AZ8" s="17" t="s">
        <v>57</v>
      </c>
      <c r="BA8" s="17"/>
      <c r="BB8" s="17"/>
      <c r="BC8" s="17"/>
      <c r="BD8" s="20"/>
      <c r="BE8" s="1487" t="s">
        <v>57</v>
      </c>
      <c r="BF8" s="1487"/>
      <c r="BG8" s="1487"/>
      <c r="BH8" s="1487"/>
      <c r="BI8" s="1487"/>
    </row>
    <row r="9" spans="1:91" s="1242" customFormat="1" ht="13.5">
      <c r="A9" s="16"/>
      <c r="B9" s="16"/>
      <c r="C9" s="16"/>
      <c r="D9" s="1135" t="s">
        <v>503</v>
      </c>
      <c r="E9" s="1135" t="s">
        <v>503</v>
      </c>
      <c r="F9" s="1243"/>
      <c r="G9" s="1243"/>
      <c r="H9" s="1243"/>
      <c r="I9" s="1135" t="s">
        <v>503</v>
      </c>
      <c r="J9" s="1135" t="s">
        <v>503</v>
      </c>
      <c r="K9" s="1068"/>
      <c r="L9" s="1068"/>
      <c r="M9" s="1068"/>
      <c r="N9" s="1135"/>
      <c r="O9" s="1135"/>
      <c r="P9" s="16"/>
      <c r="Q9" s="115"/>
      <c r="R9" s="115"/>
      <c r="S9" s="1135" t="s">
        <v>503</v>
      </c>
      <c r="T9" s="1135" t="s">
        <v>503</v>
      </c>
      <c r="U9" s="34"/>
      <c r="V9" s="34"/>
      <c r="W9" s="34"/>
      <c r="X9" s="34"/>
      <c r="Y9" s="34"/>
      <c r="Z9" s="51"/>
      <c r="AA9" s="51"/>
      <c r="AB9" s="51"/>
      <c r="AC9" s="51"/>
      <c r="AD9" s="51"/>
      <c r="AE9" s="16"/>
      <c r="AF9" s="115"/>
      <c r="AG9" s="115"/>
      <c r="AH9" s="115"/>
      <c r="AI9" s="115"/>
      <c r="AJ9" s="16"/>
      <c r="AK9" s="700"/>
      <c r="AL9" s="17"/>
      <c r="AM9" s="17"/>
      <c r="AN9" s="17"/>
      <c r="AO9" s="17"/>
      <c r="AP9" s="16"/>
      <c r="AQ9" s="251"/>
      <c r="AR9" s="251"/>
      <c r="AS9" s="251"/>
      <c r="AT9" s="251"/>
      <c r="AU9" s="342"/>
      <c r="AV9" s="339"/>
      <c r="AW9" s="342"/>
      <c r="AX9" s="1135" t="s">
        <v>503</v>
      </c>
      <c r="AY9" s="1135" t="s">
        <v>503</v>
      </c>
      <c r="AZ9" s="16"/>
      <c r="BB9" s="572" t="s">
        <v>503</v>
      </c>
      <c r="BC9" s="572" t="s">
        <v>503</v>
      </c>
      <c r="BD9" s="572" t="s">
        <v>503</v>
      </c>
      <c r="BE9" s="739"/>
      <c r="BF9" s="739"/>
      <c r="BG9" s="739"/>
      <c r="BH9" s="1135" t="s">
        <v>503</v>
      </c>
      <c r="BI9" s="1135" t="s">
        <v>503</v>
      </c>
      <c r="BJ9" s="933"/>
      <c r="BK9" s="933"/>
      <c r="BL9" s="933"/>
      <c r="BM9" s="933"/>
      <c r="BN9" s="933"/>
      <c r="BT9" s="1068"/>
      <c r="BU9" s="1068"/>
      <c r="BV9" s="1068"/>
      <c r="BW9" s="1068"/>
      <c r="BX9" s="1068"/>
      <c r="BY9" s="1068"/>
      <c r="BZ9" s="1068"/>
      <c r="CA9" s="1068"/>
      <c r="CB9" s="1068"/>
      <c r="CC9" s="1068"/>
      <c r="CD9" s="1068"/>
      <c r="CE9" s="1068"/>
      <c r="CF9" s="1068"/>
      <c r="CG9" s="1068"/>
      <c r="CH9" s="1068"/>
      <c r="CJ9" s="109"/>
      <c r="CK9" s="109"/>
      <c r="CL9" s="109"/>
      <c r="CM9" s="109"/>
    </row>
    <row r="10" spans="1:91">
      <c r="A10" s="4" t="s">
        <v>1153</v>
      </c>
      <c r="B10" s="115"/>
      <c r="C10" s="268"/>
      <c r="D10" s="25"/>
      <c r="E10" s="25" t="s">
        <v>1154</v>
      </c>
      <c r="F10" s="739" t="s">
        <v>1153</v>
      </c>
      <c r="G10" s="739"/>
      <c r="H10" s="739"/>
      <c r="I10" s="739" t="s">
        <v>1153</v>
      </c>
      <c r="K10" s="739" t="s">
        <v>1153</v>
      </c>
      <c r="L10" s="739"/>
      <c r="M10" s="739"/>
      <c r="P10" s="25" t="s">
        <v>1153</v>
      </c>
      <c r="Q10" s="16"/>
      <c r="R10" s="16"/>
      <c r="S10" s="1241"/>
      <c r="T10" s="1241"/>
      <c r="U10" s="4" t="s">
        <v>1153</v>
      </c>
      <c r="V10" s="115"/>
      <c r="W10" s="116"/>
      <c r="X10" s="25"/>
      <c r="Y10" s="25"/>
      <c r="Z10" s="25" t="s">
        <v>1153</v>
      </c>
      <c r="AA10" s="52"/>
      <c r="AB10" s="52"/>
      <c r="AC10" s="52"/>
      <c r="AD10" s="52"/>
      <c r="AE10" s="25" t="s">
        <v>1153</v>
      </c>
      <c r="AF10" s="115"/>
      <c r="AG10" s="115"/>
      <c r="AH10" s="115"/>
      <c r="AI10" s="115"/>
      <c r="AJ10" s="4"/>
      <c r="AK10" s="4" t="s">
        <v>1153</v>
      </c>
      <c r="AL10" s="115"/>
      <c r="AM10" s="116"/>
      <c r="AN10" s="25" t="s">
        <v>1232</v>
      </c>
      <c r="AO10" s="25"/>
      <c r="AP10" s="4" t="s">
        <v>1153</v>
      </c>
      <c r="AQ10" s="342"/>
      <c r="AR10" s="253"/>
      <c r="AS10" s="253" t="s">
        <v>1232</v>
      </c>
      <c r="AT10" s="253"/>
      <c r="AU10" s="252" t="s">
        <v>1153</v>
      </c>
      <c r="AV10" s="342"/>
      <c r="AW10" s="253" t="s">
        <v>1271</v>
      </c>
      <c r="AX10" s="253"/>
      <c r="AY10" s="253"/>
      <c r="AZ10" s="25" t="s">
        <v>1153</v>
      </c>
      <c r="BA10" s="16"/>
      <c r="BB10" s="4" t="s">
        <v>1175</v>
      </c>
      <c r="BC10" s="4" t="s">
        <v>1174</v>
      </c>
      <c r="BD10" s="4" t="s">
        <v>540</v>
      </c>
      <c r="BE10" s="739" t="s">
        <v>1153</v>
      </c>
      <c r="BF10" s="739"/>
      <c r="BG10" s="739"/>
      <c r="BH10" s="1173" t="s">
        <v>1384</v>
      </c>
      <c r="BI10" s="1173" t="s">
        <v>1384</v>
      </c>
    </row>
    <row r="11" spans="1:91">
      <c r="A11" s="11" t="s">
        <v>1179</v>
      </c>
      <c r="B11" s="76" t="s">
        <v>323</v>
      </c>
      <c r="C11" s="21" t="s">
        <v>1178</v>
      </c>
      <c r="D11" s="21" t="s">
        <v>1425</v>
      </c>
      <c r="E11" s="21" t="s">
        <v>325</v>
      </c>
      <c r="F11" s="999" t="s">
        <v>1179</v>
      </c>
      <c r="G11" s="999" t="s">
        <v>323</v>
      </c>
      <c r="H11" s="997" t="s">
        <v>328</v>
      </c>
      <c r="I11" s="997" t="s">
        <v>1175</v>
      </c>
      <c r="J11" s="997" t="s">
        <v>1424</v>
      </c>
      <c r="K11" s="999" t="s">
        <v>1179</v>
      </c>
      <c r="L11" s="999" t="s">
        <v>323</v>
      </c>
      <c r="M11" s="997" t="s">
        <v>328</v>
      </c>
      <c r="N11" s="997" t="s">
        <v>1175</v>
      </c>
      <c r="O11" s="997" t="s">
        <v>327</v>
      </c>
      <c r="P11" s="21" t="s">
        <v>1179</v>
      </c>
      <c r="Q11" s="122" t="s">
        <v>323</v>
      </c>
      <c r="R11" s="11"/>
      <c r="S11" s="11"/>
      <c r="T11" s="11" t="s">
        <v>326</v>
      </c>
      <c r="U11" s="11" t="s">
        <v>1179</v>
      </c>
      <c r="V11" s="76" t="s">
        <v>323</v>
      </c>
      <c r="W11" s="61" t="s">
        <v>1178</v>
      </c>
      <c r="X11" s="21" t="s">
        <v>1175</v>
      </c>
      <c r="Y11" s="21" t="s">
        <v>327</v>
      </c>
      <c r="Z11" s="21" t="s">
        <v>1179</v>
      </c>
      <c r="AA11" s="53"/>
      <c r="AB11" s="11" t="s">
        <v>1178</v>
      </c>
      <c r="AC11" s="11" t="s">
        <v>324</v>
      </c>
      <c r="AD11" s="21" t="s">
        <v>327</v>
      </c>
      <c r="AE11" s="21" t="s">
        <v>1179</v>
      </c>
      <c r="AF11" s="76" t="s">
        <v>323</v>
      </c>
      <c r="AG11" s="76"/>
      <c r="AH11" s="76"/>
      <c r="AI11" s="76"/>
      <c r="AJ11" s="11" t="s">
        <v>326</v>
      </c>
      <c r="AK11" s="11" t="s">
        <v>1179</v>
      </c>
      <c r="AL11" s="76" t="s">
        <v>323</v>
      </c>
      <c r="AM11" s="21" t="s">
        <v>328</v>
      </c>
      <c r="AN11" s="21" t="s">
        <v>328</v>
      </c>
      <c r="AO11" s="21" t="s">
        <v>327</v>
      </c>
      <c r="AP11" s="11" t="s">
        <v>1179</v>
      </c>
      <c r="AQ11" s="344" t="s">
        <v>323</v>
      </c>
      <c r="AR11" s="254" t="s">
        <v>328</v>
      </c>
      <c r="AS11" s="254" t="s">
        <v>336</v>
      </c>
      <c r="AT11" s="254" t="s">
        <v>327</v>
      </c>
      <c r="AU11" s="254" t="s">
        <v>1179</v>
      </c>
      <c r="AV11" s="344" t="s">
        <v>323</v>
      </c>
      <c r="AW11" s="254" t="s">
        <v>329</v>
      </c>
      <c r="AX11" s="254" t="s">
        <v>336</v>
      </c>
      <c r="AY11" s="254" t="s">
        <v>327</v>
      </c>
      <c r="AZ11" s="11" t="s">
        <v>1179</v>
      </c>
      <c r="BA11" s="76" t="s">
        <v>323</v>
      </c>
      <c r="BB11" s="11" t="s">
        <v>606</v>
      </c>
      <c r="BC11" s="561">
        <f>'Production Factor'!F21</f>
        <v>2.0990000000000002E-2</v>
      </c>
      <c r="BD11" s="70">
        <f>FIT</f>
        <v>0.35</v>
      </c>
      <c r="BE11" s="999" t="s">
        <v>1179</v>
      </c>
      <c r="BF11" s="999" t="s">
        <v>323</v>
      </c>
      <c r="BG11" s="997" t="s">
        <v>328</v>
      </c>
      <c r="BH11" s="997" t="s">
        <v>336</v>
      </c>
      <c r="BI11" s="997" t="s">
        <v>327</v>
      </c>
    </row>
    <row r="12" spans="1:91">
      <c r="A12" s="13"/>
      <c r="B12" s="90"/>
      <c r="C12" s="90"/>
      <c r="D12" s="90"/>
      <c r="E12" s="90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8"/>
      <c r="Q12" s="112"/>
      <c r="R12" s="91"/>
      <c r="S12" s="38"/>
      <c r="T12" s="38"/>
      <c r="U12" s="90"/>
      <c r="V12" s="90"/>
      <c r="W12" s="90"/>
      <c r="X12" s="90"/>
      <c r="Y12" s="90"/>
      <c r="Z12" s="8"/>
      <c r="AA12" s="54"/>
      <c r="AB12" s="55"/>
      <c r="AC12" s="55"/>
      <c r="AD12" s="55"/>
      <c r="AK12" s="981"/>
      <c r="AL12" s="981"/>
      <c r="AM12" s="981"/>
      <c r="AN12" s="981"/>
      <c r="AO12" s="981"/>
      <c r="AP12" s="8"/>
      <c r="AQ12" s="251"/>
      <c r="AR12" s="251"/>
      <c r="AS12" s="251"/>
      <c r="AT12" s="251"/>
      <c r="AU12" s="339"/>
      <c r="AV12" s="339"/>
      <c r="AW12" s="339"/>
      <c r="AX12" s="339"/>
      <c r="AY12" s="339"/>
      <c r="BC12" s="123"/>
      <c r="BE12" s="105"/>
      <c r="BF12" s="105"/>
      <c r="BG12" s="105"/>
      <c r="BH12" s="105"/>
      <c r="BI12" s="105"/>
    </row>
    <row r="13" spans="1:91" s="1242" customFormat="1" ht="13.5">
      <c r="A13" s="8">
        <v>1</v>
      </c>
      <c r="B13" s="1242" t="s">
        <v>33</v>
      </c>
      <c r="C13" s="134">
        <f>'JHS-19'!C19</f>
        <v>201262557</v>
      </c>
      <c r="D13" s="425">
        <f>-'JHS-20.01(A)'!N33</f>
        <v>40163723.356444776</v>
      </c>
      <c r="E13" s="425">
        <f>D13-C13</f>
        <v>-161098833.64355522</v>
      </c>
      <c r="F13" s="472">
        <v>1</v>
      </c>
      <c r="G13" s="345" t="s">
        <v>973</v>
      </c>
      <c r="H13" s="473"/>
      <c r="I13" s="473"/>
      <c r="J13" s="473"/>
      <c r="K13" s="472">
        <v>1</v>
      </c>
      <c r="L13" s="963" t="s">
        <v>461</v>
      </c>
      <c r="M13" s="473"/>
      <c r="N13" s="473"/>
      <c r="O13" s="473"/>
      <c r="P13" s="8">
        <f t="shared" ref="P13:P21" si="0">P12+1</f>
        <v>1</v>
      </c>
      <c r="Q13" s="78" t="s">
        <v>1091</v>
      </c>
      <c r="R13" s="54"/>
      <c r="S13" s="1102">
        <v>4808532326.1428576</v>
      </c>
      <c r="T13" s="54"/>
      <c r="U13" s="8">
        <v>1</v>
      </c>
      <c r="W13" s="351"/>
      <c r="X13" s="351"/>
      <c r="Y13" s="351"/>
      <c r="Z13" s="8">
        <v>1</v>
      </c>
      <c r="AA13" s="56" t="s">
        <v>1095</v>
      </c>
      <c r="AB13" s="57">
        <f>'JHS-19'!C43</f>
        <v>166953096.89999899</v>
      </c>
      <c r="AC13" s="57">
        <v>0</v>
      </c>
      <c r="AD13" s="57">
        <f>AC13-AB13</f>
        <v>-166953096.89999899</v>
      </c>
      <c r="AE13" s="8">
        <v>1</v>
      </c>
      <c r="AF13" s="35" t="s">
        <v>4</v>
      </c>
      <c r="AG13" s="35"/>
      <c r="AH13" s="35" t="s">
        <v>601</v>
      </c>
      <c r="AI13" s="35" t="s">
        <v>602</v>
      </c>
      <c r="AJ13" s="35" t="s">
        <v>603</v>
      </c>
      <c r="AK13" s="139">
        <v>1</v>
      </c>
      <c r="AL13" s="982" t="s">
        <v>58</v>
      </c>
      <c r="AM13" s="981"/>
      <c r="AN13" s="981"/>
      <c r="AO13" s="981"/>
      <c r="AP13" s="472">
        <v>1</v>
      </c>
      <c r="AQ13" s="967" t="s">
        <v>754</v>
      </c>
      <c r="AU13" s="8">
        <v>1</v>
      </c>
      <c r="AV13" s="464" t="s">
        <v>546</v>
      </c>
      <c r="AW13" s="465"/>
      <c r="AX13" s="465"/>
      <c r="AY13" s="465"/>
      <c r="AZ13" s="8">
        <v>1</v>
      </c>
      <c r="BA13" s="127" t="s">
        <v>608</v>
      </c>
      <c r="BC13" s="123"/>
      <c r="BD13" s="233"/>
      <c r="BE13" s="1068">
        <v>1</v>
      </c>
      <c r="BF13" s="1068" t="s">
        <v>465</v>
      </c>
      <c r="BG13" s="1068"/>
      <c r="BH13" s="1068"/>
      <c r="BI13" s="1068"/>
      <c r="BJ13" s="933"/>
      <c r="BK13" s="933"/>
      <c r="BL13" s="933"/>
      <c r="BM13" s="933"/>
      <c r="BN13" s="933"/>
      <c r="BT13" s="1068"/>
      <c r="BU13" s="1068"/>
      <c r="BV13" s="1068"/>
      <c r="BW13" s="1068"/>
      <c r="BX13" s="1068"/>
      <c r="BY13" s="1068"/>
      <c r="BZ13" s="1068"/>
      <c r="CA13" s="1068"/>
      <c r="CB13" s="1068"/>
      <c r="CC13" s="1068"/>
      <c r="CD13" s="1068"/>
      <c r="CE13" s="1068"/>
      <c r="CF13" s="1068"/>
      <c r="CG13" s="1068"/>
      <c r="CH13" s="1068"/>
      <c r="CJ13" s="109"/>
      <c r="CK13" s="109"/>
      <c r="CL13" s="109"/>
      <c r="CM13" s="109"/>
    </row>
    <row r="14" spans="1:91" s="1242" customFormat="1" ht="13.5">
      <c r="A14" s="8">
        <f t="shared" ref="A14:A40" si="1">A13+1</f>
        <v>2</v>
      </c>
      <c r="C14" s="1322"/>
      <c r="D14" s="1322"/>
      <c r="E14" s="1322"/>
      <c r="F14" s="472">
        <f t="shared" ref="F14:F22" si="2">F13+1</f>
        <v>2</v>
      </c>
      <c r="G14" s="345" t="s">
        <v>1045</v>
      </c>
      <c r="H14" s="953"/>
      <c r="I14" s="954"/>
      <c r="J14" s="953"/>
      <c r="K14" s="472">
        <f t="shared" ref="K14:K33" si="3">K13+1</f>
        <v>2</v>
      </c>
      <c r="L14" s="964" t="s">
        <v>695</v>
      </c>
      <c r="M14" s="365"/>
      <c r="N14" s="347">
        <v>99800000</v>
      </c>
      <c r="O14" s="347">
        <f>+N14-M14</f>
        <v>99800000</v>
      </c>
      <c r="P14" s="8">
        <f t="shared" si="0"/>
        <v>2</v>
      </c>
      <c r="Q14" s="9" t="s">
        <v>360</v>
      </c>
      <c r="R14" s="15"/>
      <c r="S14" s="94">
        <v>3.5E-4</v>
      </c>
      <c r="T14" s="54"/>
      <c r="U14" s="8">
        <f t="shared" ref="U14:U26" si="4">U13+1</f>
        <v>2</v>
      </c>
      <c r="V14" s="464" t="s">
        <v>1094</v>
      </c>
      <c r="W14" s="571"/>
      <c r="X14" s="571"/>
      <c r="Y14" s="571"/>
      <c r="Z14" s="8">
        <f t="shared" ref="Z14:Z21" si="5">Z13+1</f>
        <v>2</v>
      </c>
      <c r="AA14" s="9"/>
      <c r="AB14" s="1323"/>
      <c r="AC14" s="1322"/>
      <c r="AD14" s="1322"/>
      <c r="AE14" s="8">
        <f t="shared" ref="AE14:AE45" si="6">AE13+1</f>
        <v>2</v>
      </c>
      <c r="AF14" s="1324" t="s">
        <v>3</v>
      </c>
      <c r="AG14" s="75"/>
      <c r="AH14" s="75"/>
      <c r="AI14" s="75"/>
      <c r="AJ14" s="141"/>
      <c r="AK14" s="139">
        <f t="shared" ref="AK14:AK43" si="7">AK13+1</f>
        <v>2</v>
      </c>
      <c r="AL14" s="983" t="s">
        <v>447</v>
      </c>
      <c r="AM14" s="984">
        <v>59395254</v>
      </c>
      <c r="AN14" s="984">
        <v>0</v>
      </c>
      <c r="AO14" s="984">
        <f>AN14-AM14</f>
        <v>-59395254</v>
      </c>
      <c r="AP14" s="472">
        <f t="shared" ref="AP14:AP32" si="8">AP13+1</f>
        <v>2</v>
      </c>
      <c r="AQ14" s="968" t="s">
        <v>753</v>
      </c>
      <c r="AR14" s="984">
        <v>0</v>
      </c>
      <c r="AS14" s="984">
        <v>141761311.7899999</v>
      </c>
      <c r="AT14" s="984">
        <f>+AS14-AR14</f>
        <v>141761311.7899999</v>
      </c>
      <c r="AU14" s="8">
        <f>AU13+1</f>
        <v>2</v>
      </c>
      <c r="AV14" s="269" t="s">
        <v>825</v>
      </c>
      <c r="AW14" s="378">
        <v>16250380.343333339</v>
      </c>
      <c r="AX14" s="378">
        <v>11214773.00999999</v>
      </c>
      <c r="AY14" s="378">
        <f t="shared" ref="AY14:AY33" si="9">+AX14-AW14</f>
        <v>-5035607.3333333489</v>
      </c>
      <c r="AZ14" s="8">
        <f t="shared" ref="AZ14:AZ52" si="10">AZ13+1</f>
        <v>2</v>
      </c>
      <c r="BA14" s="9" t="s">
        <v>1119</v>
      </c>
      <c r="BB14" s="110"/>
      <c r="BC14" s="110"/>
      <c r="BD14" s="110"/>
      <c r="BE14" s="1068">
        <f t="shared" ref="BE14:BE28" si="11">BE13+1</f>
        <v>2</v>
      </c>
      <c r="BF14" s="1068" t="s">
        <v>466</v>
      </c>
      <c r="BG14" s="998">
        <v>0</v>
      </c>
      <c r="BH14" s="1325">
        <v>4580590.941704548</v>
      </c>
      <c r="BI14" s="1325">
        <f>BH14-BG14</f>
        <v>4580590.941704548</v>
      </c>
      <c r="BJ14" s="933"/>
      <c r="BK14" s="933"/>
      <c r="BL14" s="933"/>
      <c r="BM14" s="933"/>
      <c r="BN14" s="933"/>
      <c r="BT14" s="1068"/>
      <c r="BU14" s="1068"/>
      <c r="BV14" s="1068"/>
      <c r="BW14" s="1068"/>
      <c r="BX14" s="1068"/>
      <c r="BY14" s="1068"/>
      <c r="BZ14" s="1068"/>
      <c r="CA14" s="1068"/>
      <c r="CB14" s="1068"/>
      <c r="CC14" s="1068"/>
      <c r="CD14" s="1068"/>
      <c r="CE14" s="1068"/>
      <c r="CF14" s="1068"/>
      <c r="CG14" s="1068"/>
      <c r="CH14" s="1068"/>
      <c r="CJ14" s="109"/>
      <c r="CK14" s="109"/>
      <c r="CL14" s="109"/>
      <c r="CM14" s="109"/>
    </row>
    <row r="15" spans="1:91" s="1242" customFormat="1">
      <c r="A15" s="8">
        <f t="shared" si="1"/>
        <v>3</v>
      </c>
      <c r="B15" s="1242" t="s">
        <v>541</v>
      </c>
      <c r="C15" s="99">
        <v>-36748461.420000002</v>
      </c>
      <c r="D15" s="99">
        <f>-'JHS-20.01(A)'!N34</f>
        <v>0</v>
      </c>
      <c r="E15" s="99">
        <f>D15-C15</f>
        <v>36748461.420000002</v>
      </c>
      <c r="F15" s="472">
        <f t="shared" si="2"/>
        <v>3</v>
      </c>
      <c r="G15" s="346" t="s">
        <v>543</v>
      </c>
      <c r="H15" s="955">
        <v>42218.927499999998</v>
      </c>
      <c r="I15" s="956">
        <v>770776844.40702665</v>
      </c>
      <c r="J15" s="956">
        <f>+I15-H15</f>
        <v>770734625.47952664</v>
      </c>
      <c r="K15" s="472">
        <f t="shared" si="3"/>
        <v>3</v>
      </c>
      <c r="L15" s="965" t="s">
        <v>441</v>
      </c>
      <c r="M15" s="352"/>
      <c r="N15" s="352">
        <v>-53536.543384954333</v>
      </c>
      <c r="O15" s="352">
        <f>+N15-M15</f>
        <v>-53536.543384954333</v>
      </c>
      <c r="P15" s="8">
        <f t="shared" si="0"/>
        <v>3</v>
      </c>
      <c r="Q15" s="9"/>
      <c r="R15" s="15"/>
      <c r="S15" s="64"/>
      <c r="T15" s="54"/>
      <c r="U15" s="8">
        <f t="shared" si="4"/>
        <v>3</v>
      </c>
      <c r="V15" s="410" t="s">
        <v>543</v>
      </c>
      <c r="W15" s="955">
        <v>4357020</v>
      </c>
      <c r="X15" s="956"/>
      <c r="Y15" s="956">
        <f>+X15-W15</f>
        <v>-4357020</v>
      </c>
      <c r="Z15" s="8">
        <f t="shared" si="5"/>
        <v>3</v>
      </c>
      <c r="AA15" s="43" t="s">
        <v>21</v>
      </c>
      <c r="AB15" s="104">
        <f>SUM(AB13:AB14)</f>
        <v>166953096.89999899</v>
      </c>
      <c r="AC15" s="104">
        <f>SUM(AC13:AC14)</f>
        <v>0</v>
      </c>
      <c r="AD15" s="104">
        <f>SUM(AD13:AD14)</f>
        <v>-166953096.89999899</v>
      </c>
      <c r="AE15" s="8">
        <f t="shared" si="6"/>
        <v>3</v>
      </c>
      <c r="AF15" s="12" t="s">
        <v>390</v>
      </c>
      <c r="AG15" s="12"/>
      <c r="AH15" s="245">
        <v>122467.67</v>
      </c>
      <c r="AI15" s="245">
        <v>3449455.5100000002</v>
      </c>
      <c r="AJ15" s="49">
        <f t="shared" ref="AJ15:AJ20" si="12">SUM(AH15+AI15)</f>
        <v>3571923.18</v>
      </c>
      <c r="AK15" s="139">
        <f t="shared" si="7"/>
        <v>3</v>
      </c>
      <c r="AL15" s="983" t="s">
        <v>1194</v>
      </c>
      <c r="AM15" s="139">
        <v>-2899124.75</v>
      </c>
      <c r="AN15" s="139">
        <v>0</v>
      </c>
      <c r="AO15" s="139">
        <f>AN15-AM15</f>
        <v>2899124.75</v>
      </c>
      <c r="AP15" s="472">
        <f t="shared" si="8"/>
        <v>3</v>
      </c>
      <c r="AQ15" s="968" t="s">
        <v>462</v>
      </c>
      <c r="AR15" s="1242">
        <v>0</v>
      </c>
      <c r="AS15" s="137">
        <v>-7088065.5894999942</v>
      </c>
      <c r="AT15" s="347">
        <f>+AS15-AR15</f>
        <v>-7088065.5894999942</v>
      </c>
      <c r="AU15" s="8">
        <f t="shared" ref="AU15:AU63" si="13">+AU14+1</f>
        <v>3</v>
      </c>
      <c r="AV15" s="269" t="s">
        <v>161</v>
      </c>
      <c r="AW15" s="378">
        <v>37566967.736249998</v>
      </c>
      <c r="AX15" s="466">
        <v>34565277.373377569</v>
      </c>
      <c r="AY15" s="466">
        <f t="shared" si="9"/>
        <v>-3001690.3628724292</v>
      </c>
      <c r="AZ15" s="8">
        <f t="shared" si="10"/>
        <v>3</v>
      </c>
      <c r="BA15" s="9" t="s">
        <v>1272</v>
      </c>
      <c r="BB15" s="129">
        <f>'JHS-21'!CR14+'JHS-21'!BB14</f>
        <v>79703.050959696149</v>
      </c>
      <c r="BC15" s="129">
        <f>+BB15*-$BC$11</f>
        <v>-1672.9670396440224</v>
      </c>
      <c r="BD15" s="129">
        <f>ROUND(+BC15*-$BD$11,0)</f>
        <v>586</v>
      </c>
      <c r="BE15" s="1068">
        <f t="shared" si="11"/>
        <v>3</v>
      </c>
      <c r="BF15" s="1068" t="s">
        <v>467</v>
      </c>
      <c r="BG15" s="352">
        <v>0</v>
      </c>
      <c r="BH15" s="969">
        <v>0</v>
      </c>
      <c r="BI15" s="352">
        <f>BH15-BG15</f>
        <v>0</v>
      </c>
      <c r="BJ15" s="933"/>
      <c r="BK15" s="933"/>
      <c r="BL15" s="933"/>
      <c r="BM15" s="933"/>
      <c r="BN15" s="933"/>
      <c r="BO15" s="128"/>
      <c r="BP15" s="128"/>
      <c r="BT15" s="1068"/>
      <c r="BU15" s="1068"/>
      <c r="BV15" s="1068"/>
      <c r="BW15" s="1068"/>
      <c r="BX15" s="1068"/>
      <c r="BY15" s="1068"/>
      <c r="BZ15" s="1068"/>
      <c r="CA15" s="1068"/>
      <c r="CB15" s="1068"/>
      <c r="CC15" s="1068"/>
      <c r="CD15" s="1068"/>
      <c r="CE15" s="1068"/>
      <c r="CF15" s="1068"/>
      <c r="CG15" s="1068"/>
      <c r="CH15" s="1068"/>
      <c r="CJ15" s="109"/>
      <c r="CK15" s="109"/>
      <c r="CL15" s="109"/>
      <c r="CM15" s="109"/>
    </row>
    <row r="16" spans="1:91" s="1242" customFormat="1" ht="13.5">
      <c r="A16" s="8">
        <f t="shared" si="1"/>
        <v>4</v>
      </c>
      <c r="B16" s="1242" t="s">
        <v>542</v>
      </c>
      <c r="C16" s="5">
        <f>-TransmRev!C42-C45</f>
        <v>10703022.630000001</v>
      </c>
      <c r="D16" s="1103">
        <f>-'JHS-20.01(A)'!N38</f>
        <v>13723962.537659865</v>
      </c>
      <c r="E16" s="1103">
        <f>D16-C16</f>
        <v>3020939.9076598641</v>
      </c>
      <c r="F16" s="472">
        <f t="shared" si="2"/>
        <v>4</v>
      </c>
      <c r="G16" s="346" t="s">
        <v>801</v>
      </c>
      <c r="H16" s="957">
        <v>0</v>
      </c>
      <c r="I16" s="958">
        <v>-21987450.310814984</v>
      </c>
      <c r="J16" s="958">
        <f>+I16-H16</f>
        <v>-21987450.310814984</v>
      </c>
      <c r="K16" s="472">
        <f t="shared" si="3"/>
        <v>4</v>
      </c>
      <c r="L16" s="966" t="s">
        <v>442</v>
      </c>
      <c r="M16" s="475">
        <f>SUM(M14:M15)</f>
        <v>0</v>
      </c>
      <c r="N16" s="475">
        <f>SUM(N14:N15)</f>
        <v>99746463.456615046</v>
      </c>
      <c r="O16" s="347">
        <f>+N16-M16</f>
        <v>99746463.456615046</v>
      </c>
      <c r="P16" s="8">
        <f t="shared" si="0"/>
        <v>4</v>
      </c>
      <c r="Q16" s="9" t="s">
        <v>1092</v>
      </c>
      <c r="R16" s="15"/>
      <c r="S16" s="64"/>
      <c r="T16" s="1102">
        <f>S13*S14</f>
        <v>1682986.3141500002</v>
      </c>
      <c r="U16" s="8">
        <f t="shared" si="4"/>
        <v>4</v>
      </c>
      <c r="V16" s="346" t="s">
        <v>801</v>
      </c>
      <c r="W16" s="957">
        <v>-462883</v>
      </c>
      <c r="X16" s="958"/>
      <c r="Y16" s="958">
        <f>+X16-W16</f>
        <v>462883</v>
      </c>
      <c r="Z16" s="8">
        <f t="shared" si="5"/>
        <v>4</v>
      </c>
      <c r="AA16" s="9"/>
      <c r="AB16" s="58"/>
      <c r="AC16" s="58"/>
      <c r="AD16" s="58"/>
      <c r="AE16" s="8">
        <f t="shared" si="6"/>
        <v>4</v>
      </c>
      <c r="AF16" s="12" t="s">
        <v>391</v>
      </c>
      <c r="AG16" s="12"/>
      <c r="AH16" s="246">
        <v>450747.92</v>
      </c>
      <c r="AI16" s="246">
        <v>10435721.23</v>
      </c>
      <c r="AJ16" s="247">
        <f t="shared" si="12"/>
        <v>10886469.15</v>
      </c>
      <c r="AK16" s="139">
        <f t="shared" si="7"/>
        <v>4</v>
      </c>
      <c r="AL16" s="139"/>
      <c r="AM16" s="1326"/>
      <c r="AN16" s="1326"/>
      <c r="AO16" s="1326"/>
      <c r="AP16" s="472">
        <f t="shared" si="8"/>
        <v>4</v>
      </c>
      <c r="AQ16" s="968" t="s">
        <v>802</v>
      </c>
      <c r="AR16" s="352">
        <v>0</v>
      </c>
      <c r="AS16" s="969">
        <v>-17542944.033175014</v>
      </c>
      <c r="AT16" s="970">
        <f>+AS16-AR16</f>
        <v>-17542944.033175014</v>
      </c>
      <c r="AU16" s="8">
        <f t="shared" si="13"/>
        <v>4</v>
      </c>
      <c r="AV16" s="269" t="s">
        <v>545</v>
      </c>
      <c r="AW16" s="378">
        <v>24579163.585833333</v>
      </c>
      <c r="AX16" s="466">
        <v>24941806.739999998</v>
      </c>
      <c r="AY16" s="466">
        <f t="shared" si="9"/>
        <v>362643.15416666493</v>
      </c>
      <c r="AZ16" s="8">
        <f t="shared" si="10"/>
        <v>4</v>
      </c>
      <c r="BA16" s="9" t="s">
        <v>1273</v>
      </c>
      <c r="BB16" s="128">
        <f>'JHS-21'!CR15+'JHS-21'!BB15+'JHS-21'!AD17</f>
        <v>243956.35415977897</v>
      </c>
      <c r="BC16" s="128">
        <f>+BB16*-$BC$11</f>
        <v>-5120.6438738137613</v>
      </c>
      <c r="BD16" s="128">
        <f>ROUND(+BC16*-$BD$11,0)</f>
        <v>1792</v>
      </c>
      <c r="BE16" s="1068">
        <f t="shared" si="11"/>
        <v>4</v>
      </c>
      <c r="BF16" s="1068" t="s">
        <v>472</v>
      </c>
      <c r="BG16" s="745">
        <f>BG14+BG15</f>
        <v>0</v>
      </c>
      <c r="BH16" s="1105">
        <f>BH14+BH15</f>
        <v>4580590.941704548</v>
      </c>
      <c r="BI16" s="1105">
        <f>BI14+BI15</f>
        <v>4580590.941704548</v>
      </c>
      <c r="BJ16" s="933"/>
      <c r="BK16" s="933"/>
      <c r="BL16" s="933"/>
      <c r="BM16" s="933"/>
      <c r="BN16" s="933"/>
      <c r="BO16" s="128"/>
      <c r="BP16" s="128"/>
      <c r="BT16" s="1068"/>
      <c r="BU16" s="1068"/>
      <c r="BV16" s="1068"/>
      <c r="BW16" s="1068"/>
      <c r="BX16" s="1068"/>
      <c r="BY16" s="1068"/>
      <c r="BZ16" s="1068"/>
      <c r="CA16" s="1068"/>
      <c r="CB16" s="1068"/>
      <c r="CC16" s="1068"/>
      <c r="CD16" s="1068"/>
      <c r="CE16" s="1068"/>
      <c r="CF16" s="1068"/>
      <c r="CG16" s="1068"/>
      <c r="CH16" s="1068"/>
      <c r="CJ16" s="109"/>
      <c r="CK16" s="109"/>
      <c r="CL16" s="109"/>
      <c r="CM16" s="109"/>
    </row>
    <row r="17" spans="1:91" s="1068" customFormat="1" ht="14.25" thickBot="1">
      <c r="A17" s="8">
        <f t="shared" si="1"/>
        <v>5</v>
      </c>
      <c r="B17" s="1242"/>
      <c r="C17" s="99">
        <f>SUM(C15:C16)</f>
        <v>-26045438.789999999</v>
      </c>
      <c r="D17" s="1100">
        <f>SUM(D15:D16)</f>
        <v>13723962.537659865</v>
      </c>
      <c r="E17" s="1100">
        <f>SUM(E15:E16)</f>
        <v>39769401.327659868</v>
      </c>
      <c r="F17" s="472">
        <f t="shared" si="2"/>
        <v>5</v>
      </c>
      <c r="G17" s="346" t="s">
        <v>1243</v>
      </c>
      <c r="H17" s="958">
        <v>0</v>
      </c>
      <c r="I17" s="958">
        <v>-78763004.445213079</v>
      </c>
      <c r="J17" s="958">
        <f>+I17-H17</f>
        <v>-78763004.445213079</v>
      </c>
      <c r="K17" s="472">
        <f t="shared" si="3"/>
        <v>5</v>
      </c>
      <c r="L17" s="1242"/>
      <c r="M17" s="1327"/>
      <c r="N17" s="1327"/>
      <c r="O17" s="1327"/>
      <c r="P17" s="8">
        <f t="shared" si="0"/>
        <v>5</v>
      </c>
      <c r="Q17" s="9" t="s">
        <v>15</v>
      </c>
      <c r="R17" s="15"/>
      <c r="S17" s="95"/>
      <c r="T17" s="96">
        <v>1542094.23</v>
      </c>
      <c r="U17" s="8">
        <f t="shared" si="4"/>
        <v>5</v>
      </c>
      <c r="V17" s="346" t="s">
        <v>1243</v>
      </c>
      <c r="W17" s="958">
        <v>-523501</v>
      </c>
      <c r="X17" s="958"/>
      <c r="Y17" s="958">
        <f>+X17-W17</f>
        <v>523501</v>
      </c>
      <c r="Z17" s="8">
        <f t="shared" si="5"/>
        <v>5</v>
      </c>
      <c r="AA17" s="9" t="s">
        <v>12</v>
      </c>
      <c r="AB17" s="58"/>
      <c r="AC17" s="58"/>
      <c r="AD17" s="36">
        <f>-AD15</f>
        <v>166953096.89999899</v>
      </c>
      <c r="AE17" s="8">
        <f t="shared" si="6"/>
        <v>5</v>
      </c>
      <c r="AF17" s="12" t="s">
        <v>392</v>
      </c>
      <c r="AG17" s="12"/>
      <c r="AH17" s="246">
        <v>376352.92</v>
      </c>
      <c r="AI17" s="246">
        <v>8672798.4499999993</v>
      </c>
      <c r="AJ17" s="247">
        <f t="shared" si="12"/>
        <v>9049151.3699999992</v>
      </c>
      <c r="AK17" s="139">
        <f t="shared" si="7"/>
        <v>5</v>
      </c>
      <c r="AL17" s="139" t="s">
        <v>448</v>
      </c>
      <c r="AM17" s="985">
        <f>SUM(AM14:AM16)</f>
        <v>56496129.25</v>
      </c>
      <c r="AN17" s="985">
        <v>0</v>
      </c>
      <c r="AO17" s="985">
        <f>AN17-AM17</f>
        <v>-56496129.25</v>
      </c>
      <c r="AP17" s="472">
        <f t="shared" si="8"/>
        <v>5</v>
      </c>
      <c r="AQ17" s="964"/>
      <c r="AR17" s="351"/>
      <c r="AS17" s="476"/>
      <c r="AT17" s="347"/>
      <c r="AU17" s="8">
        <f t="shared" si="13"/>
        <v>5</v>
      </c>
      <c r="AV17" s="269" t="s">
        <v>1109</v>
      </c>
      <c r="AW17" s="378">
        <v>-25951720.432499994</v>
      </c>
      <c r="AX17" s="466">
        <v>-29911730</v>
      </c>
      <c r="AY17" s="466">
        <f t="shared" si="9"/>
        <v>-3960009.5675000064</v>
      </c>
      <c r="AZ17" s="8">
        <f t="shared" si="10"/>
        <v>5</v>
      </c>
      <c r="BA17" s="1242" t="s">
        <v>1120</v>
      </c>
      <c r="BB17" s="1328">
        <f>SUM(BB14:BB16)</f>
        <v>323659.40511947509</v>
      </c>
      <c r="BC17" s="1328">
        <f>SUM(BC14:BC16)</f>
        <v>-6793.6109134577837</v>
      </c>
      <c r="BD17" s="1328">
        <f>SUM(BD14:BD16)</f>
        <v>2378</v>
      </c>
      <c r="BE17" s="1068">
        <f t="shared" si="11"/>
        <v>5</v>
      </c>
      <c r="BG17" s="745"/>
      <c r="BH17" s="745"/>
      <c r="BI17" s="745"/>
      <c r="BJ17" s="933"/>
      <c r="BK17" s="933"/>
      <c r="BL17" s="933"/>
      <c r="BM17" s="933"/>
      <c r="BN17" s="933"/>
      <c r="BO17" s="1242"/>
      <c r="BP17" s="129"/>
      <c r="BQ17" s="1242"/>
      <c r="BR17" s="1242"/>
      <c r="BS17" s="1242"/>
      <c r="CI17" s="1242"/>
      <c r="CJ17" s="109"/>
      <c r="CK17" s="109"/>
      <c r="CL17" s="109"/>
      <c r="CM17" s="109"/>
    </row>
    <row r="18" spans="1:91" s="1068" customFormat="1" ht="15" thickTop="1" thickBot="1">
      <c r="A18" s="8">
        <f t="shared" si="1"/>
        <v>6</v>
      </c>
      <c r="B18" s="1242"/>
      <c r="C18" s="1322"/>
      <c r="D18" s="1322"/>
      <c r="E18" s="1322"/>
      <c r="F18" s="472">
        <f t="shared" si="2"/>
        <v>6</v>
      </c>
      <c r="G18" s="346"/>
      <c r="H18" s="958"/>
      <c r="I18" s="958" t="s">
        <v>939</v>
      </c>
      <c r="J18" s="958" t="s">
        <v>939</v>
      </c>
      <c r="K18" s="472">
        <f t="shared" si="3"/>
        <v>6</v>
      </c>
      <c r="L18" s="967" t="s">
        <v>1090</v>
      </c>
      <c r="M18" s="1242"/>
      <c r="N18" s="1242"/>
      <c r="O18" s="1242"/>
      <c r="P18" s="8">
        <f t="shared" si="0"/>
        <v>6</v>
      </c>
      <c r="Q18" s="9" t="s">
        <v>39</v>
      </c>
      <c r="R18" s="73"/>
      <c r="S18" s="64"/>
      <c r="T18" s="1121">
        <f>T16-T17</f>
        <v>140892.08415000024</v>
      </c>
      <c r="U18" s="8">
        <f t="shared" si="4"/>
        <v>6</v>
      </c>
      <c r="V18" s="273" t="s">
        <v>1093</v>
      </c>
      <c r="W18" s="1329">
        <f>SUM(W15:W17)</f>
        <v>3370636</v>
      </c>
      <c r="X18" s="1329">
        <f>SUM(X15:X17)</f>
        <v>0</v>
      </c>
      <c r="Y18" s="1329">
        <f>SUM(Y15:Y17)</f>
        <v>-3370636</v>
      </c>
      <c r="Z18" s="8">
        <f t="shared" si="5"/>
        <v>6</v>
      </c>
      <c r="AA18" s="9"/>
      <c r="AB18" s="58"/>
      <c r="AC18" s="44"/>
      <c r="AD18" s="1242"/>
      <c r="AE18" s="8">
        <f t="shared" si="6"/>
        <v>6</v>
      </c>
      <c r="AF18" s="12" t="s">
        <v>1205</v>
      </c>
      <c r="AG18" s="12"/>
      <c r="AH18" s="246">
        <v>77335.22</v>
      </c>
      <c r="AI18" s="246">
        <v>9881617.6600000001</v>
      </c>
      <c r="AJ18" s="247">
        <f t="shared" si="12"/>
        <v>9958952.8800000008</v>
      </c>
      <c r="AK18" s="139">
        <f t="shared" si="7"/>
        <v>6</v>
      </c>
      <c r="AL18" s="139"/>
      <c r="AM18" s="139"/>
      <c r="AN18" s="139"/>
      <c r="AO18" s="139"/>
      <c r="AP18" s="472">
        <f t="shared" si="8"/>
        <v>6</v>
      </c>
      <c r="AQ18" s="971" t="s">
        <v>755</v>
      </c>
      <c r="AR18" s="475">
        <f>SUM(AR14:AR16)</f>
        <v>0</v>
      </c>
      <c r="AS18" s="475">
        <f>SUM(AS14:AS16)</f>
        <v>117130302.1673249</v>
      </c>
      <c r="AT18" s="475">
        <f>SUM(AT14:AT16)</f>
        <v>117130302.1673249</v>
      </c>
      <c r="AU18" s="8">
        <f t="shared" si="13"/>
        <v>6</v>
      </c>
      <c r="AV18" s="269" t="s">
        <v>493</v>
      </c>
      <c r="AW18" s="378">
        <v>-11889662.083333334</v>
      </c>
      <c r="AX18" s="378">
        <v>-10331527.550000008</v>
      </c>
      <c r="AY18" s="466">
        <f t="shared" si="9"/>
        <v>1558134.5333333258</v>
      </c>
      <c r="AZ18" s="8">
        <f t="shared" si="10"/>
        <v>6</v>
      </c>
      <c r="BA18" s="1242"/>
      <c r="BB18" s="1328"/>
      <c r="BC18" s="1328"/>
      <c r="BD18" s="1328"/>
      <c r="BE18" s="1068">
        <f t="shared" si="11"/>
        <v>6</v>
      </c>
      <c r="BF18" s="1068" t="s">
        <v>468</v>
      </c>
      <c r="BG18" s="745"/>
      <c r="BH18" s="745"/>
      <c r="BI18" s="1105">
        <f>BI16</f>
        <v>4580590.941704548</v>
      </c>
      <c r="BJ18" s="933"/>
      <c r="BK18" s="933"/>
      <c r="BL18" s="933"/>
      <c r="BM18" s="933"/>
      <c r="BN18" s="933"/>
      <c r="BO18" s="1242"/>
      <c r="BP18" s="129"/>
      <c r="BQ18" s="1242"/>
      <c r="BR18" s="1242"/>
      <c r="BS18" s="1242"/>
      <c r="CI18" s="1242"/>
      <c r="CJ18" s="109"/>
      <c r="CK18" s="109"/>
      <c r="CL18" s="109"/>
      <c r="CM18" s="109"/>
    </row>
    <row r="19" spans="1:91" s="1068" customFormat="1" ht="15" thickTop="1" thickBot="1">
      <c r="A19" s="8">
        <f t="shared" si="1"/>
        <v>7</v>
      </c>
      <c r="B19" s="9" t="s">
        <v>1073</v>
      </c>
      <c r="C19" s="128">
        <f>SUM(C13:C16)</f>
        <v>175217118.20999998</v>
      </c>
      <c r="D19" s="1095">
        <f>SUM(D13:D16)</f>
        <v>53887685.894104645</v>
      </c>
      <c r="E19" s="1095">
        <f>SUM(E13:E16)</f>
        <v>-121329432.31589536</v>
      </c>
      <c r="F19" s="472">
        <f t="shared" si="2"/>
        <v>7</v>
      </c>
      <c r="G19" s="273" t="s">
        <v>974</v>
      </c>
      <c r="H19" s="1329">
        <f>SUM(H15:H18)</f>
        <v>42218.927499999998</v>
      </c>
      <c r="I19" s="1329">
        <f>SUM(I15:I18)</f>
        <v>670026389.65099859</v>
      </c>
      <c r="J19" s="1329">
        <f>SUM(J15:J18)</f>
        <v>669984170.72349858</v>
      </c>
      <c r="K19" s="472">
        <f t="shared" si="3"/>
        <v>7</v>
      </c>
      <c r="L19" s="968" t="s">
        <v>443</v>
      </c>
      <c r="M19" s="1242"/>
      <c r="N19" s="109">
        <v>17425225.847105045</v>
      </c>
      <c r="O19" s="347">
        <f>+N19-M19</f>
        <v>17425225.847105045</v>
      </c>
      <c r="P19" s="8">
        <f t="shared" si="0"/>
        <v>7</v>
      </c>
      <c r="Q19" s="1242"/>
      <c r="R19" s="54"/>
      <c r="S19" s="54" t="s">
        <v>939</v>
      </c>
      <c r="T19" s="54" t="s">
        <v>939</v>
      </c>
      <c r="U19" s="8">
        <f t="shared" si="4"/>
        <v>7</v>
      </c>
      <c r="V19" s="474"/>
      <c r="W19" s="475"/>
      <c r="X19" s="475"/>
      <c r="Y19" s="475"/>
      <c r="Z19" s="8">
        <f t="shared" si="5"/>
        <v>7</v>
      </c>
      <c r="AA19" s="9" t="s">
        <v>585</v>
      </c>
      <c r="AB19" s="158">
        <v>0.35</v>
      </c>
      <c r="AC19" s="1330"/>
      <c r="AD19" s="128">
        <f>AD17*AB19</f>
        <v>58433583.914999641</v>
      </c>
      <c r="AE19" s="8">
        <f t="shared" si="6"/>
        <v>7</v>
      </c>
      <c r="AF19" s="12" t="s">
        <v>498</v>
      </c>
      <c r="AG19" s="12"/>
      <c r="AH19" s="246">
        <v>41126.25</v>
      </c>
      <c r="AI19" s="246">
        <v>4617466.24</v>
      </c>
      <c r="AJ19" s="247">
        <f t="shared" si="12"/>
        <v>4658592.49</v>
      </c>
      <c r="AK19" s="139">
        <f t="shared" si="7"/>
        <v>7</v>
      </c>
      <c r="AL19" s="986" t="s">
        <v>452</v>
      </c>
      <c r="AM19" s="733"/>
      <c r="AN19" s="733"/>
      <c r="AO19" s="733"/>
      <c r="AP19" s="472">
        <f t="shared" si="8"/>
        <v>7</v>
      </c>
      <c r="AQ19" s="968"/>
      <c r="AR19" s="1327"/>
      <c r="AS19" s="1331"/>
      <c r="AT19" s="1332"/>
      <c r="AU19" s="8">
        <f t="shared" si="13"/>
        <v>7</v>
      </c>
      <c r="AV19" s="269" t="s">
        <v>610</v>
      </c>
      <c r="AW19" s="378">
        <v>1394050.1595833332</v>
      </c>
      <c r="AX19" s="378">
        <v>0</v>
      </c>
      <c r="AY19" s="378">
        <f t="shared" si="9"/>
        <v>-1394050.1595833332</v>
      </c>
      <c r="AZ19" s="8">
        <f t="shared" si="10"/>
        <v>7</v>
      </c>
      <c r="BA19" s="1242" t="s">
        <v>1229</v>
      </c>
      <c r="BB19" s="151"/>
      <c r="BC19" s="151"/>
      <c r="BD19" s="151"/>
      <c r="BE19" s="1068">
        <f t="shared" si="11"/>
        <v>7</v>
      </c>
      <c r="BG19" s="745"/>
      <c r="BH19" s="745"/>
      <c r="BI19" s="745"/>
      <c r="BJ19" s="933"/>
      <c r="BK19" s="933"/>
      <c r="BL19" s="933"/>
      <c r="BM19" s="933"/>
      <c r="BN19" s="933"/>
      <c r="BO19" s="1242"/>
      <c r="BP19" s="129"/>
      <c r="BQ19" s="1242"/>
      <c r="BR19" s="1242"/>
      <c r="BS19" s="1242"/>
      <c r="CI19" s="1242"/>
      <c r="CJ19" s="109"/>
      <c r="CK19" s="109"/>
      <c r="CL19" s="109"/>
      <c r="CM19" s="109"/>
    </row>
    <row r="20" spans="1:91" s="1068" customFormat="1" ht="14.25" thickTop="1">
      <c r="A20" s="8">
        <f t="shared" si="1"/>
        <v>8</v>
      </c>
      <c r="B20" s="1242"/>
      <c r="C20" s="1327"/>
      <c r="D20" s="1327"/>
      <c r="E20" s="1327"/>
      <c r="F20" s="472">
        <f t="shared" si="2"/>
        <v>8</v>
      </c>
      <c r="G20" s="474"/>
      <c r="H20" s="475"/>
      <c r="I20" s="475"/>
      <c r="J20" s="475"/>
      <c r="K20" s="472">
        <f t="shared" si="3"/>
        <v>8</v>
      </c>
      <c r="L20" s="964" t="s">
        <v>445</v>
      </c>
      <c r="M20" s="1242"/>
      <c r="N20" s="137">
        <v>-348872.36950620339</v>
      </c>
      <c r="O20" s="347">
        <f>+N20-M20</f>
        <v>-348872.36950620339</v>
      </c>
      <c r="P20" s="8">
        <f t="shared" si="0"/>
        <v>8</v>
      </c>
      <c r="Q20" s="9" t="s">
        <v>35</v>
      </c>
      <c r="R20" s="158">
        <v>0.35</v>
      </c>
      <c r="S20" s="1330"/>
      <c r="T20" s="1095">
        <f>-T18*R20</f>
        <v>-49312.229452500083</v>
      </c>
      <c r="U20" s="8">
        <f t="shared" si="4"/>
        <v>8</v>
      </c>
      <c r="V20" s="345" t="s">
        <v>2</v>
      </c>
      <c r="W20" s="473"/>
      <c r="X20" s="473"/>
      <c r="Y20" s="473"/>
      <c r="Z20" s="8">
        <f t="shared" si="5"/>
        <v>8</v>
      </c>
      <c r="AA20" s="1242"/>
      <c r="AB20" s="1242"/>
      <c r="AC20" s="1242"/>
      <c r="AD20" s="1242"/>
      <c r="AE20" s="8">
        <f t="shared" si="6"/>
        <v>8</v>
      </c>
      <c r="AF20" s="12" t="s">
        <v>499</v>
      </c>
      <c r="AG20" s="12"/>
      <c r="AH20" s="138">
        <v>152546.21</v>
      </c>
      <c r="AI20" s="138">
        <v>9338772.910000002</v>
      </c>
      <c r="AJ20" s="247">
        <f t="shared" si="12"/>
        <v>9491319.1200000029</v>
      </c>
      <c r="AK20" s="139">
        <f t="shared" si="7"/>
        <v>8</v>
      </c>
      <c r="AL20" s="987" t="s">
        <v>449</v>
      </c>
      <c r="AM20" s="378"/>
      <c r="AN20" s="378"/>
      <c r="AO20" s="378">
        <f>+AN20-AM20</f>
        <v>0</v>
      </c>
      <c r="AP20" s="472">
        <f t="shared" si="8"/>
        <v>8</v>
      </c>
      <c r="AQ20" s="963" t="s">
        <v>757</v>
      </c>
      <c r="AR20" s="473"/>
      <c r="AS20" s="473"/>
      <c r="AT20" s="473"/>
      <c r="AU20" s="8">
        <f t="shared" si="13"/>
        <v>8</v>
      </c>
      <c r="AV20" s="269" t="s">
        <v>1215</v>
      </c>
      <c r="AW20" s="378">
        <v>3605729.3916666666</v>
      </c>
      <c r="AX20" s="378">
        <v>0</v>
      </c>
      <c r="AY20" s="378">
        <f t="shared" si="9"/>
        <v>-3605729.3916666666</v>
      </c>
      <c r="AZ20" s="8">
        <f t="shared" si="10"/>
        <v>8</v>
      </c>
      <c r="BA20" s="9" t="s">
        <v>366</v>
      </c>
      <c r="BB20" s="151">
        <f>+'Production Adjustment'!F22</f>
        <v>5009923.6698797224</v>
      </c>
      <c r="BC20" s="151">
        <f>+BB20*-$BC$11</f>
        <v>-105158.29783077538</v>
      </c>
      <c r="BD20" s="151">
        <f>ROUND(+BC20*-$BD$11,0)</f>
        <v>36805</v>
      </c>
      <c r="BE20" s="1068">
        <f t="shared" si="11"/>
        <v>8</v>
      </c>
      <c r="BF20" s="1068" t="s">
        <v>469</v>
      </c>
      <c r="BG20" s="745"/>
      <c r="BH20" s="745"/>
      <c r="BI20" s="1184">
        <f>-BI18*0.35</f>
        <v>-1603206.8295965916</v>
      </c>
      <c r="BJ20" s="933"/>
      <c r="BK20" s="933"/>
      <c r="BL20" s="933"/>
      <c r="BM20" s="933"/>
      <c r="BN20" s="933"/>
      <c r="BO20" s="1242"/>
      <c r="BP20" s="129"/>
      <c r="BQ20" s="1242"/>
      <c r="BR20" s="1242"/>
      <c r="BS20" s="1242"/>
      <c r="CI20" s="1242"/>
      <c r="CJ20" s="109"/>
      <c r="CK20" s="109"/>
      <c r="CL20" s="109"/>
      <c r="CM20" s="109"/>
    </row>
    <row r="21" spans="1:91" s="1068" customFormat="1" ht="14.25" thickBot="1">
      <c r="A21" s="8">
        <f t="shared" si="1"/>
        <v>9</v>
      </c>
      <c r="B21" s="12" t="s">
        <v>357</v>
      </c>
      <c r="C21" s="1246">
        <f>'JHS-19'!C26-AW43-AW44-AW47</f>
        <v>269007822.12463862</v>
      </c>
      <c r="D21" s="1247">
        <f>'JHS-20.01(A)'!N20</f>
        <v>268428833.16803157</v>
      </c>
      <c r="E21" s="1247">
        <f>D21-C21</f>
        <v>-578988.95660704374</v>
      </c>
      <c r="F21" s="472">
        <f t="shared" si="2"/>
        <v>9</v>
      </c>
      <c r="G21" s="345" t="s">
        <v>975</v>
      </c>
      <c r="H21" s="953"/>
      <c r="I21" s="953"/>
      <c r="J21" s="953"/>
      <c r="K21" s="472">
        <f t="shared" si="3"/>
        <v>9</v>
      </c>
      <c r="L21" s="964" t="s">
        <v>446</v>
      </c>
      <c r="M21" s="352"/>
      <c r="N21" s="969">
        <v>-5976723.7171595944</v>
      </c>
      <c r="O21" s="970">
        <f>+N21-M21</f>
        <v>-5976723.7171595944</v>
      </c>
      <c r="P21" s="8">
        <f t="shared" si="0"/>
        <v>9</v>
      </c>
      <c r="Q21" s="9" t="s">
        <v>369</v>
      </c>
      <c r="R21" s="155"/>
      <c r="S21" s="132"/>
      <c r="T21" s="1333">
        <f>-T18-T20</f>
        <v>-91579.854697500152</v>
      </c>
      <c r="U21" s="8">
        <f t="shared" si="4"/>
        <v>9</v>
      </c>
      <c r="V21" s="356" t="s">
        <v>544</v>
      </c>
      <c r="W21" s="955">
        <v>275496.65999999997</v>
      </c>
      <c r="X21" s="956"/>
      <c r="Y21" s="956">
        <f>+X21-W21</f>
        <v>-275496.65999999997</v>
      </c>
      <c r="Z21" s="8">
        <f t="shared" si="5"/>
        <v>9</v>
      </c>
      <c r="AA21" s="9" t="s">
        <v>369</v>
      </c>
      <c r="AB21" s="155"/>
      <c r="AC21" s="132"/>
      <c r="AD21" s="1334">
        <f>+AD17-AD19</f>
        <v>108519512.98499936</v>
      </c>
      <c r="AE21" s="8">
        <f t="shared" si="6"/>
        <v>9</v>
      </c>
      <c r="AF21" s="59" t="s">
        <v>6</v>
      </c>
      <c r="AG21" s="59"/>
      <c r="AH21" s="2">
        <f>SUM(AH15:AH20)</f>
        <v>1220576.19</v>
      </c>
      <c r="AI21" s="2">
        <f>SUM(AI15:AI20)</f>
        <v>46395832</v>
      </c>
      <c r="AJ21" s="1335">
        <f>SUM(AJ15:AJ20)</f>
        <v>47616408.190000005</v>
      </c>
      <c r="AK21" s="139">
        <f t="shared" si="7"/>
        <v>9</v>
      </c>
      <c r="AL21" s="988" t="str">
        <f>"TAXABLE - SEE LINE "&amp;AK30&amp;" FOR TAX (LINE "&amp;AK30&amp;" ÷ 35%)"</f>
        <v>TAXABLE - SEE LINE 18 FOR TAX (LINE 18 ÷ 35%)</v>
      </c>
      <c r="AM21" s="378">
        <f>AO30/0.35</f>
        <v>14334285.714285715</v>
      </c>
      <c r="AN21" s="378">
        <v>0</v>
      </c>
      <c r="AO21" s="378">
        <f>AN21-AM21</f>
        <v>-14334285.714285715</v>
      </c>
      <c r="AP21" s="472">
        <f t="shared" si="8"/>
        <v>9</v>
      </c>
      <c r="AQ21" s="968" t="s">
        <v>756</v>
      </c>
      <c r="AR21" s="365">
        <v>0</v>
      </c>
      <c r="AS21" s="347">
        <v>18500000</v>
      </c>
      <c r="AT21" s="347">
        <f>+AS21-AR21</f>
        <v>18500000</v>
      </c>
      <c r="AU21" s="8">
        <f t="shared" si="13"/>
        <v>9</v>
      </c>
      <c r="AV21" s="269" t="s">
        <v>155</v>
      </c>
      <c r="AW21" s="378">
        <v>-326871.46333333332</v>
      </c>
      <c r="AX21" s="378">
        <v>0</v>
      </c>
      <c r="AY21" s="378">
        <f t="shared" si="9"/>
        <v>326871.46333333332</v>
      </c>
      <c r="AZ21" s="8">
        <f t="shared" si="10"/>
        <v>9</v>
      </c>
      <c r="BA21" s="9" t="s">
        <v>381</v>
      </c>
      <c r="BB21" s="147">
        <f>'Production Plant Premiums'!C19</f>
        <v>2835322</v>
      </c>
      <c r="BC21" s="147">
        <f>+BB21*-$BC$11</f>
        <v>-59513.408780000005</v>
      </c>
      <c r="BD21" s="147">
        <f>ROUND(+BC21*-$BD$11,0)</f>
        <v>20830</v>
      </c>
      <c r="BE21" s="1068">
        <f t="shared" si="11"/>
        <v>9</v>
      </c>
      <c r="BG21" s="745"/>
      <c r="BH21" s="745"/>
      <c r="BI21" s="745"/>
      <c r="BJ21" s="933"/>
      <c r="BK21" s="933"/>
      <c r="BL21" s="933"/>
      <c r="BM21" s="933"/>
      <c r="BN21" s="933"/>
      <c r="BO21" s="1242"/>
      <c r="BP21" s="1242"/>
      <c r="BQ21" s="1242"/>
      <c r="BR21" s="1242"/>
      <c r="BS21" s="1242"/>
      <c r="CI21" s="1242"/>
      <c r="CJ21" s="109"/>
      <c r="CK21" s="109"/>
      <c r="CL21" s="109"/>
      <c r="CM21" s="109"/>
    </row>
    <row r="22" spans="1:91" s="1068" customFormat="1" ht="15" thickTop="1" thickBot="1">
      <c r="A22" s="8">
        <f t="shared" si="1"/>
        <v>10</v>
      </c>
      <c r="B22" s="12"/>
      <c r="C22" s="1336"/>
      <c r="D22" s="1336"/>
      <c r="E22" s="1336"/>
      <c r="F22" s="472">
        <f t="shared" si="2"/>
        <v>10</v>
      </c>
      <c r="G22" s="356" t="s">
        <v>730</v>
      </c>
      <c r="H22" s="955">
        <v>0</v>
      </c>
      <c r="I22" s="956">
        <v>27986221.0576046</v>
      </c>
      <c r="J22" s="956">
        <f>+I22-H22</f>
        <v>27986221.0576046</v>
      </c>
      <c r="K22" s="472">
        <f t="shared" si="3"/>
        <v>10</v>
      </c>
      <c r="L22" s="971" t="s">
        <v>444</v>
      </c>
      <c r="M22" s="475">
        <f>SUM(M19:M21)</f>
        <v>0</v>
      </c>
      <c r="N22" s="475">
        <f>SUM(N19:N21)</f>
        <v>11099629.760439247</v>
      </c>
      <c r="O22" s="475">
        <f>SUM(O19:O21)</f>
        <v>11099629.760439247</v>
      </c>
      <c r="P22" s="8"/>
      <c r="Q22" s="1242"/>
      <c r="R22" s="132"/>
      <c r="S22" s="132"/>
      <c r="T22" s="1242"/>
      <c r="U22" s="8">
        <f t="shared" si="4"/>
        <v>10</v>
      </c>
      <c r="V22" s="269"/>
      <c r="W22" s="476"/>
      <c r="X22" s="476"/>
      <c r="Y22" s="476"/>
      <c r="Z22" s="8"/>
      <c r="AA22" s="15"/>
      <c r="AB22" s="99"/>
      <c r="AC22" s="99"/>
      <c r="AD22" s="1242"/>
      <c r="AE22" s="8">
        <f t="shared" si="6"/>
        <v>10</v>
      </c>
      <c r="AF22" s="1242"/>
      <c r="AG22" s="1242"/>
      <c r="AH22" s="128"/>
      <c r="AI22" s="128"/>
      <c r="AJ22" s="128"/>
      <c r="AK22" s="139">
        <f t="shared" si="7"/>
        <v>10</v>
      </c>
      <c r="AL22" s="988" t="s">
        <v>450</v>
      </c>
      <c r="AM22" s="378">
        <v>16823714.285714284</v>
      </c>
      <c r="AN22" s="378">
        <v>0</v>
      </c>
      <c r="AO22" s="378">
        <f>AN22-AM22</f>
        <v>-16823714.285714284</v>
      </c>
      <c r="AP22" s="472">
        <f t="shared" si="8"/>
        <v>10</v>
      </c>
      <c r="AQ22" s="968" t="s">
        <v>462</v>
      </c>
      <c r="AR22" s="352">
        <v>0</v>
      </c>
      <c r="AS22" s="352">
        <v>0</v>
      </c>
      <c r="AT22" s="352">
        <f>+AS22-AR22</f>
        <v>0</v>
      </c>
      <c r="AU22" s="8">
        <f t="shared" si="13"/>
        <v>10</v>
      </c>
      <c r="AV22" s="269" t="s">
        <v>491</v>
      </c>
      <c r="AW22" s="378">
        <v>-2135222.4941666666</v>
      </c>
      <c r="AX22" s="378">
        <v>-1529461.682666667</v>
      </c>
      <c r="AY22" s="378">
        <f t="shared" si="9"/>
        <v>605760.8114999996</v>
      </c>
      <c r="AZ22" s="8">
        <f t="shared" si="10"/>
        <v>10</v>
      </c>
      <c r="BA22" s="9" t="s">
        <v>607</v>
      </c>
      <c r="BB22" s="1328">
        <f>SUM(BB20:BB21)</f>
        <v>7845245.6698797224</v>
      </c>
      <c r="BC22" s="1328">
        <f>SUM(BC20:BC21)</f>
        <v>-164671.70661077538</v>
      </c>
      <c r="BD22" s="1328">
        <f>SUM(BD20:BD21)</f>
        <v>57635</v>
      </c>
      <c r="BE22" s="1068">
        <f t="shared" si="11"/>
        <v>10</v>
      </c>
      <c r="BF22" s="1068" t="s">
        <v>470</v>
      </c>
      <c r="BG22" s="745"/>
      <c r="BH22" s="745"/>
      <c r="BI22" s="1110">
        <f>-BI20-BI18</f>
        <v>-2977384.1121079563</v>
      </c>
      <c r="BJ22" s="933"/>
      <c r="BK22" s="933"/>
      <c r="BL22" s="933"/>
      <c r="BM22" s="933"/>
      <c r="BN22" s="933"/>
      <c r="BO22" s="1242"/>
      <c r="BP22" s="1242"/>
      <c r="BQ22" s="1242"/>
      <c r="BR22" s="1242"/>
      <c r="BS22" s="1242"/>
      <c r="CI22" s="269"/>
      <c r="CJ22" s="9"/>
      <c r="CK22" s="58"/>
      <c r="CL22" s="58"/>
      <c r="CM22" s="58"/>
    </row>
    <row r="23" spans="1:91" s="1068" customFormat="1" ht="14.25" thickTop="1">
      <c r="A23" s="8">
        <f t="shared" si="1"/>
        <v>11</v>
      </c>
      <c r="B23" s="12" t="s">
        <v>866</v>
      </c>
      <c r="C23" s="99">
        <f>'JHS-19'!C27-$AW$38-$AR$28-AM21-AM22-AM25-$AW$42</f>
        <v>792862060.07333338</v>
      </c>
      <c r="D23" s="1097">
        <f>'JHS-20.01(A)'!N22+'JHS-20.01(A)'!N24</f>
        <v>462397894.34288442</v>
      </c>
      <c r="E23" s="1098">
        <f>D23-C23</f>
        <v>-330464165.73044896</v>
      </c>
      <c r="F23" s="472">
        <f t="shared" ref="F23:F32" si="14">F22+1</f>
        <v>11</v>
      </c>
      <c r="G23" s="356" t="s">
        <v>731</v>
      </c>
      <c r="H23" s="957"/>
      <c r="I23" s="958">
        <v>4836017.4803273994</v>
      </c>
      <c r="J23" s="958">
        <f>+I23-H23</f>
        <v>4836017.4803273994</v>
      </c>
      <c r="K23" s="472">
        <f t="shared" si="3"/>
        <v>11</v>
      </c>
      <c r="L23" s="971"/>
      <c r="M23" s="1337"/>
      <c r="N23" s="1338"/>
      <c r="O23" s="1332"/>
      <c r="P23" s="269"/>
      <c r="Q23" s="1242"/>
      <c r="R23" s="1242"/>
      <c r="S23" s="1242"/>
      <c r="T23" s="233"/>
      <c r="U23" s="8">
        <f t="shared" si="4"/>
        <v>11</v>
      </c>
      <c r="V23" s="477" t="s">
        <v>995</v>
      </c>
      <c r="W23" s="476"/>
      <c r="X23" s="476"/>
      <c r="Y23" s="476">
        <f>Y21</f>
        <v>-275496.65999999997</v>
      </c>
      <c r="Z23" s="269"/>
      <c r="AA23" s="15"/>
      <c r="AB23" s="99"/>
      <c r="AC23" s="99"/>
      <c r="AD23" s="99"/>
      <c r="AE23" s="8">
        <f t="shared" si="6"/>
        <v>11</v>
      </c>
      <c r="AF23" s="1242" t="s">
        <v>19</v>
      </c>
      <c r="AG23" s="1242"/>
      <c r="AH23" s="149">
        <f>AH21/6</f>
        <v>203429.36499999999</v>
      </c>
      <c r="AI23" s="149">
        <f>AI21/6</f>
        <v>7732638.666666667</v>
      </c>
      <c r="AJ23" s="151">
        <f>+AJ21/6</f>
        <v>7936068.0316666672</v>
      </c>
      <c r="AK23" s="139">
        <f t="shared" si="7"/>
        <v>11</v>
      </c>
      <c r="AL23" s="987" t="s">
        <v>451</v>
      </c>
      <c r="AM23" s="1339">
        <f>SUM(AM21:AM22)</f>
        <v>31158000</v>
      </c>
      <c r="AN23" s="1339">
        <f>SUM(AN21:AN22)</f>
        <v>0</v>
      </c>
      <c r="AO23" s="1339">
        <f>SUM(AO21:AO22)</f>
        <v>-31158000</v>
      </c>
      <c r="AP23" s="472">
        <f t="shared" si="8"/>
        <v>11</v>
      </c>
      <c r="AQ23" s="971" t="s">
        <v>758</v>
      </c>
      <c r="AR23" s="475">
        <f>SUM(AR21:AR22)</f>
        <v>0</v>
      </c>
      <c r="AS23" s="475">
        <f>SUM(AS21:AS22)</f>
        <v>18500000</v>
      </c>
      <c r="AT23" s="347">
        <f>+AS23-AR23</f>
        <v>18500000</v>
      </c>
      <c r="AU23" s="8">
        <f t="shared" si="13"/>
        <v>11</v>
      </c>
      <c r="AV23" s="269" t="s">
        <v>490</v>
      </c>
      <c r="AW23" s="378">
        <v>-2286406.038333334</v>
      </c>
      <c r="AX23" s="378">
        <v>-2096742.2330097083</v>
      </c>
      <c r="AY23" s="378">
        <f t="shared" si="9"/>
        <v>189663.80532362568</v>
      </c>
      <c r="AZ23" s="8">
        <f t="shared" si="10"/>
        <v>11</v>
      </c>
      <c r="BA23" s="9"/>
      <c r="BB23" s="1328"/>
      <c r="BC23" s="1328"/>
      <c r="BD23" s="1328"/>
      <c r="BE23" s="1068">
        <f t="shared" si="11"/>
        <v>11</v>
      </c>
      <c r="BG23" s="745"/>
      <c r="BH23" s="745"/>
      <c r="BI23" s="745"/>
      <c r="BJ23" s="933"/>
      <c r="BK23" s="933"/>
      <c r="BL23" s="933"/>
      <c r="BM23" s="933"/>
      <c r="BN23" s="933"/>
      <c r="BO23" s="1242"/>
      <c r="BP23" s="1242"/>
      <c r="BQ23" s="1242"/>
      <c r="BR23" s="1242"/>
      <c r="BS23" s="1242"/>
      <c r="CI23" s="8"/>
      <c r="CJ23" s="9"/>
      <c r="CK23" s="58"/>
      <c r="CL23" s="58"/>
      <c r="CM23" s="58"/>
    </row>
    <row r="24" spans="1:91" s="1068" customFormat="1" ht="13.5" thickBot="1">
      <c r="A24" s="8">
        <f t="shared" si="1"/>
        <v>12</v>
      </c>
      <c r="B24" s="12" t="s">
        <v>886</v>
      </c>
      <c r="C24" s="99">
        <v>0</v>
      </c>
      <c r="D24" s="54">
        <f>'JHS-20.01(A)'!N25</f>
        <v>1420907.408017</v>
      </c>
      <c r="E24" s="440">
        <f>D24-C24</f>
        <v>1420907.408017</v>
      </c>
      <c r="F24" s="472">
        <f t="shared" si="14"/>
        <v>12</v>
      </c>
      <c r="G24" s="356" t="s">
        <v>567</v>
      </c>
      <c r="H24" s="1340">
        <f>SUM(H22:H23)</f>
        <v>0</v>
      </c>
      <c r="I24" s="1340">
        <f>SUM(I22:I23)</f>
        <v>32822238.537932001</v>
      </c>
      <c r="J24" s="1340">
        <f>SUM(J22:J23)</f>
        <v>32822238.537932001</v>
      </c>
      <c r="K24" s="472">
        <f t="shared" si="3"/>
        <v>12</v>
      </c>
      <c r="L24" s="972" t="s">
        <v>1217</v>
      </c>
      <c r="M24" s="973">
        <f>M16+M22</f>
        <v>0</v>
      </c>
      <c r="N24" s="973">
        <f>N16+N22</f>
        <v>110846093.21705429</v>
      </c>
      <c r="O24" s="973">
        <f>O16+O22</f>
        <v>110846093.21705429</v>
      </c>
      <c r="P24" s="1242"/>
      <c r="Q24" s="1242"/>
      <c r="R24" s="1242"/>
      <c r="S24" s="1242"/>
      <c r="T24" s="233"/>
      <c r="U24" s="8">
        <f t="shared" si="4"/>
        <v>12</v>
      </c>
      <c r="V24" s="477"/>
      <c r="W24" s="476"/>
      <c r="X24" s="476"/>
      <c r="Y24" s="476"/>
      <c r="Z24" s="8"/>
      <c r="AA24" s="15"/>
      <c r="AB24" s="99"/>
      <c r="AC24" s="99"/>
      <c r="AD24" s="99"/>
      <c r="AE24" s="8">
        <f t="shared" si="6"/>
        <v>12</v>
      </c>
      <c r="AF24" s="1242"/>
      <c r="AG24" s="1242"/>
      <c r="AH24" s="128"/>
      <c r="AI24" s="128"/>
      <c r="AJ24" s="128"/>
      <c r="AK24" s="139">
        <f t="shared" si="7"/>
        <v>12</v>
      </c>
      <c r="AL24" s="987"/>
      <c r="AM24" s="378"/>
      <c r="AN24" s="378"/>
      <c r="AO24" s="378"/>
      <c r="AP24" s="472">
        <f t="shared" si="8"/>
        <v>12</v>
      </c>
      <c r="AQ24" s="971"/>
      <c r="AR24" s="1337"/>
      <c r="AS24" s="1338"/>
      <c r="AT24" s="1332"/>
      <c r="AU24" s="8">
        <f t="shared" si="13"/>
        <v>12</v>
      </c>
      <c r="AV24" s="269" t="s">
        <v>1110</v>
      </c>
      <c r="AW24" s="378">
        <v>26616504.926249996</v>
      </c>
      <c r="AX24" s="378">
        <v>23180900.644329056</v>
      </c>
      <c r="AY24" s="378">
        <f t="shared" si="9"/>
        <v>-3435604.2819209397</v>
      </c>
      <c r="AZ24" s="8">
        <f t="shared" si="10"/>
        <v>12</v>
      </c>
      <c r="BA24" s="9" t="s">
        <v>837</v>
      </c>
      <c r="BB24" s="1242"/>
      <c r="BC24" s="1242"/>
      <c r="BD24" s="1242"/>
      <c r="BE24" s="1068">
        <f t="shared" si="11"/>
        <v>12</v>
      </c>
      <c r="BF24" s="1068" t="s">
        <v>365</v>
      </c>
      <c r="BG24" s="745"/>
      <c r="BH24" s="745"/>
      <c r="BI24" s="745"/>
      <c r="BJ24" s="933"/>
      <c r="BK24" s="933"/>
      <c r="BL24" s="933"/>
      <c r="BM24" s="933"/>
      <c r="BN24" s="933"/>
      <c r="BO24" s="1242"/>
      <c r="BP24" s="1242"/>
      <c r="BQ24" s="1242"/>
      <c r="BR24" s="1242"/>
      <c r="BS24" s="1242"/>
      <c r="CI24" s="8"/>
      <c r="CJ24" s="9"/>
      <c r="CK24" s="58"/>
      <c r="CL24" s="58"/>
      <c r="CM24" s="58"/>
    </row>
    <row r="25" spans="1:91" s="1068" customFormat="1" ht="15" thickTop="1" thickBot="1">
      <c r="A25" s="8">
        <f t="shared" si="1"/>
        <v>13</v>
      </c>
      <c r="B25" s="12"/>
      <c r="C25" s="5"/>
      <c r="D25" s="746"/>
      <c r="E25" s="5"/>
      <c r="F25" s="472">
        <f t="shared" si="14"/>
        <v>13</v>
      </c>
      <c r="G25" s="356"/>
      <c r="H25" s="955"/>
      <c r="I25" s="956"/>
      <c r="J25" s="956"/>
      <c r="K25" s="472">
        <f t="shared" si="3"/>
        <v>13</v>
      </c>
      <c r="L25" s="474"/>
      <c r="M25" s="475"/>
      <c r="N25" s="475"/>
      <c r="O25" s="475"/>
      <c r="P25" s="1242"/>
      <c r="Q25" s="1242"/>
      <c r="R25" s="1242"/>
      <c r="S25" s="109"/>
      <c r="T25" s="1242"/>
      <c r="U25" s="8">
        <f t="shared" si="4"/>
        <v>13</v>
      </c>
      <c r="V25" s="269" t="s">
        <v>23</v>
      </c>
      <c r="W25" s="99"/>
      <c r="X25" s="244">
        <v>0.35</v>
      </c>
      <c r="Y25" s="5">
        <f>ROUND(-Y23*$X$25,0)</f>
        <v>96424</v>
      </c>
      <c r="Z25" s="8"/>
      <c r="AA25" s="15"/>
      <c r="AB25" s="99"/>
      <c r="AC25" s="100"/>
      <c r="AD25" s="99"/>
      <c r="AE25" s="8">
        <f t="shared" si="6"/>
        <v>13</v>
      </c>
      <c r="AF25" s="269" t="s">
        <v>1096</v>
      </c>
      <c r="AG25" s="269"/>
      <c r="AH25" s="128"/>
      <c r="AI25" s="128"/>
      <c r="AJ25" s="128"/>
      <c r="AK25" s="139">
        <f t="shared" si="7"/>
        <v>13</v>
      </c>
      <c r="AL25" s="987" t="s">
        <v>494</v>
      </c>
      <c r="AM25" s="378">
        <v>6374000</v>
      </c>
      <c r="AN25" s="378">
        <f>SUM(AN5:AN20)</f>
        <v>0</v>
      </c>
      <c r="AO25" s="378">
        <f>AN25-AM25</f>
        <v>-6374000</v>
      </c>
      <c r="AP25" s="472">
        <f t="shared" si="8"/>
        <v>13</v>
      </c>
      <c r="AQ25" s="972" t="s">
        <v>759</v>
      </c>
      <c r="AR25" s="973">
        <f>AR18+AR23</f>
        <v>0</v>
      </c>
      <c r="AS25" s="973">
        <f>AS18+AS23</f>
        <v>135630302.1673249</v>
      </c>
      <c r="AT25" s="973">
        <f>AT18+AT23</f>
        <v>135630302.1673249</v>
      </c>
      <c r="AU25" s="8">
        <f t="shared" si="13"/>
        <v>13</v>
      </c>
      <c r="AV25" s="269" t="s">
        <v>1111</v>
      </c>
      <c r="AW25" s="378">
        <v>2331479.3587500001</v>
      </c>
      <c r="AX25" s="378">
        <v>0</v>
      </c>
      <c r="AY25" s="378">
        <f t="shared" si="9"/>
        <v>-2331479.3587500001</v>
      </c>
      <c r="AZ25" s="8">
        <f t="shared" si="10"/>
        <v>13</v>
      </c>
      <c r="BA25" s="9" t="s">
        <v>1283</v>
      </c>
      <c r="BB25" s="151">
        <f>'Production Adjustment'!F29</f>
        <v>95731477.877931997</v>
      </c>
      <c r="BC25" s="151">
        <f>+BB25*-$BC$11</f>
        <v>-2009403.7206577929</v>
      </c>
      <c r="BD25" s="151">
        <f>'Production Adjustment'!G43</f>
        <v>820704.2085951023</v>
      </c>
      <c r="BE25" s="1068">
        <f t="shared" si="11"/>
        <v>13</v>
      </c>
      <c r="BF25" s="1068" t="s">
        <v>474</v>
      </c>
      <c r="BG25" s="736">
        <v>0</v>
      </c>
      <c r="BH25" s="1183">
        <v>18173514.582393892</v>
      </c>
      <c r="BI25" s="1183">
        <f>BH25-BG25</f>
        <v>18173514.582393892</v>
      </c>
      <c r="BJ25" s="933"/>
      <c r="BK25" s="933"/>
      <c r="BL25" s="933"/>
      <c r="BM25" s="933"/>
      <c r="BN25" s="933"/>
      <c r="BO25" s="1242"/>
      <c r="BP25" s="1242"/>
      <c r="BQ25" s="1242"/>
      <c r="BR25" s="1242"/>
      <c r="BS25" s="1242"/>
      <c r="CI25" s="8"/>
      <c r="CJ25" s="9"/>
      <c r="CK25" s="9"/>
      <c r="CL25" s="9"/>
      <c r="CM25" s="58"/>
    </row>
    <row r="26" spans="1:91" s="1068" customFormat="1" ht="15" thickTop="1" thickBot="1">
      <c r="A26" s="8">
        <f t="shared" si="1"/>
        <v>14</v>
      </c>
      <c r="B26" s="12" t="s">
        <v>1286</v>
      </c>
      <c r="C26" s="128">
        <f>SUM(C23:C25)</f>
        <v>792862060.07333338</v>
      </c>
      <c r="D26" s="1095">
        <f>SUM(D23:D25)</f>
        <v>463818801.7509014</v>
      </c>
      <c r="E26" s="1095">
        <f>SUM(E23:E25)</f>
        <v>-329043258.32243198</v>
      </c>
      <c r="F26" s="472">
        <f t="shared" si="14"/>
        <v>14</v>
      </c>
      <c r="G26" s="953"/>
      <c r="H26" s="953"/>
      <c r="I26" s="953"/>
      <c r="J26" s="953"/>
      <c r="K26" s="472">
        <f t="shared" si="3"/>
        <v>14</v>
      </c>
      <c r="L26" s="974" t="s">
        <v>2</v>
      </c>
      <c r="M26" s="954"/>
      <c r="N26" s="954"/>
      <c r="O26" s="954"/>
      <c r="P26" s="1242"/>
      <c r="Q26" s="1242"/>
      <c r="R26" s="1242"/>
      <c r="S26" s="109"/>
      <c r="T26" s="1242"/>
      <c r="U26" s="8">
        <f t="shared" si="4"/>
        <v>14</v>
      </c>
      <c r="V26" s="269" t="s">
        <v>369</v>
      </c>
      <c r="W26" s="135"/>
      <c r="X26" s="135"/>
      <c r="Y26" s="1341">
        <f>-Y23-Y25</f>
        <v>179072.65999999997</v>
      </c>
      <c r="Z26" s="8"/>
      <c r="AA26" s="15"/>
      <c r="AB26" s="99"/>
      <c r="AC26" s="99"/>
      <c r="AD26" s="99"/>
      <c r="AE26" s="8">
        <f t="shared" si="6"/>
        <v>14</v>
      </c>
      <c r="AF26" s="285" t="s">
        <v>382</v>
      </c>
      <c r="AG26" s="285"/>
      <c r="AH26" s="147">
        <f>AH20</f>
        <v>152546.21</v>
      </c>
      <c r="AI26" s="147">
        <f>AI20</f>
        <v>9338772.910000002</v>
      </c>
      <c r="AJ26" s="147">
        <f>AJ20</f>
        <v>9491319.1200000029</v>
      </c>
      <c r="AK26" s="139">
        <f t="shared" si="7"/>
        <v>14</v>
      </c>
      <c r="AL26" s="987" t="s">
        <v>921</v>
      </c>
      <c r="AM26" s="378"/>
      <c r="AN26" s="378">
        <v>0</v>
      </c>
      <c r="AO26" s="378">
        <f>AN26-AM26</f>
        <v>0</v>
      </c>
      <c r="AP26" s="472">
        <f t="shared" si="8"/>
        <v>14</v>
      </c>
      <c r="AQ26" s="474"/>
      <c r="AR26" s="475"/>
      <c r="AS26" s="475"/>
      <c r="AT26" s="475"/>
      <c r="AU26" s="8">
        <f t="shared" si="13"/>
        <v>14</v>
      </c>
      <c r="AV26" s="269" t="s">
        <v>1112</v>
      </c>
      <c r="AW26" s="378">
        <v>5000000</v>
      </c>
      <c r="AX26" s="1342">
        <v>3583333.3333333335</v>
      </c>
      <c r="AY26" s="1342">
        <f t="shared" si="9"/>
        <v>-1416666.6666666665</v>
      </c>
      <c r="AZ26" s="8">
        <f t="shared" si="10"/>
        <v>14</v>
      </c>
      <c r="BA26" s="9" t="s">
        <v>595</v>
      </c>
      <c r="BB26" s="128">
        <f>'Production Adjustment'!F38</f>
        <v>11264042.390000001</v>
      </c>
      <c r="BC26" s="128">
        <f>+BB26*-$BC$11</f>
        <v>-236432.24976610002</v>
      </c>
      <c r="BD26" s="128">
        <f>'Production Adjustment'!G44</f>
        <v>80107.149087669197</v>
      </c>
      <c r="BE26" s="1068">
        <f t="shared" si="11"/>
        <v>14</v>
      </c>
      <c r="BF26" s="1068" t="s">
        <v>473</v>
      </c>
      <c r="BG26" s="745">
        <v>0</v>
      </c>
      <c r="BH26" s="1105">
        <v>-2290295.470852274</v>
      </c>
      <c r="BI26" s="1105">
        <f>BH26-BG26</f>
        <v>-2290295.470852274</v>
      </c>
      <c r="BJ26" s="933"/>
      <c r="BK26" s="933"/>
      <c r="BL26" s="933"/>
      <c r="BM26" s="933"/>
      <c r="BN26" s="933"/>
      <c r="BO26" s="1242"/>
      <c r="BP26" s="1242"/>
      <c r="BQ26" s="1242"/>
      <c r="BR26" s="1242"/>
      <c r="BS26" s="1242"/>
      <c r="CI26" s="8"/>
      <c r="CJ26" s="9"/>
      <c r="CK26" s="9"/>
      <c r="CL26" s="9"/>
      <c r="CM26" s="58"/>
    </row>
    <row r="27" spans="1:91" s="1068" customFormat="1" ht="14.25" thickTop="1">
      <c r="A27" s="8">
        <f t="shared" si="1"/>
        <v>15</v>
      </c>
      <c r="B27" s="12" t="s">
        <v>368</v>
      </c>
      <c r="C27" s="99">
        <f>'JHS-19'!C28-$AW$40</f>
        <v>76487810.829999909</v>
      </c>
      <c r="D27" s="1100">
        <f>'JHS-20.01(A)'!N28</f>
        <v>83238876.236189857</v>
      </c>
      <c r="E27" s="1100">
        <f>D27-C27</f>
        <v>6751065.4061899483</v>
      </c>
      <c r="F27" s="472">
        <f t="shared" si="14"/>
        <v>15</v>
      </c>
      <c r="G27" s="959" t="s">
        <v>1089</v>
      </c>
      <c r="H27" s="960"/>
      <c r="I27" s="961"/>
      <c r="J27" s="960"/>
      <c r="K27" s="472">
        <f t="shared" si="3"/>
        <v>15</v>
      </c>
      <c r="L27" s="968" t="s">
        <v>687</v>
      </c>
      <c r="M27" s="365">
        <v>0</v>
      </c>
      <c r="N27" s="1343">
        <f>'LSR Power Costs'!F13</f>
        <v>420202.58515248541</v>
      </c>
      <c r="O27" s="347">
        <f>+N27-M27</f>
        <v>420202.58515248541</v>
      </c>
      <c r="P27" s="110"/>
      <c r="Q27" s="1242"/>
      <c r="R27" s="1242"/>
      <c r="S27" s="128"/>
      <c r="T27" s="1242"/>
      <c r="U27" s="1242"/>
      <c r="V27" s="1242"/>
      <c r="W27" s="1242"/>
      <c r="X27" s="1242"/>
      <c r="Y27" s="1242"/>
      <c r="Z27" s="8"/>
      <c r="AA27" s="1242"/>
      <c r="AB27" s="99"/>
      <c r="AC27" s="151"/>
      <c r="AD27" s="151"/>
      <c r="AE27" s="8">
        <f t="shared" si="6"/>
        <v>15</v>
      </c>
      <c r="AF27" s="1242"/>
      <c r="AG27" s="1242"/>
      <c r="AH27" s="128"/>
      <c r="AI27" s="128"/>
      <c r="AJ27" s="128"/>
      <c r="AK27" s="139">
        <f t="shared" si="7"/>
        <v>15</v>
      </c>
      <c r="AL27" s="987" t="s">
        <v>922</v>
      </c>
      <c r="AM27" s="1339">
        <f>SUM(AM25:AM26)</f>
        <v>6374000</v>
      </c>
      <c r="AN27" s="1339">
        <f>SUM(AN25:AN26)</f>
        <v>0</v>
      </c>
      <c r="AO27" s="1339">
        <f>SUM(AO25:AO26)</f>
        <v>-6374000</v>
      </c>
      <c r="AP27" s="472">
        <f t="shared" si="8"/>
        <v>15</v>
      </c>
      <c r="AQ27" s="963" t="s">
        <v>2</v>
      </c>
      <c r="AR27" s="954"/>
      <c r="AS27" s="954"/>
      <c r="AT27" s="954"/>
      <c r="AU27" s="8">
        <f t="shared" si="13"/>
        <v>15</v>
      </c>
      <c r="AV27" s="269" t="s">
        <v>764</v>
      </c>
      <c r="AW27" s="378">
        <v>0</v>
      </c>
      <c r="AX27" s="378">
        <v>1193197.5</v>
      </c>
      <c r="AY27" s="378">
        <f t="shared" si="9"/>
        <v>1193197.5</v>
      </c>
      <c r="AZ27" s="8">
        <f t="shared" si="10"/>
        <v>15</v>
      </c>
      <c r="BA27" s="9" t="s">
        <v>158</v>
      </c>
      <c r="BB27" s="1328">
        <f>SUM(BB25:BB26)</f>
        <v>106995520.267932</v>
      </c>
      <c r="BC27" s="1328">
        <f>SUM(BC25:BC26)</f>
        <v>-2245835.9704238931</v>
      </c>
      <c r="BD27" s="1328">
        <f>SUM(BD25:BD26)</f>
        <v>900811.35768277152</v>
      </c>
      <c r="BE27" s="1068">
        <f t="shared" si="11"/>
        <v>15</v>
      </c>
      <c r="BF27" s="1068" t="s">
        <v>475</v>
      </c>
      <c r="BG27" s="745">
        <v>0</v>
      </c>
      <c r="BH27" s="1105">
        <v>-5559126.6890395666</v>
      </c>
      <c r="BI27" s="1105">
        <f>BH27-BG27</f>
        <v>-5559126.6890395666</v>
      </c>
      <c r="BJ27" s="933"/>
      <c r="BK27" s="933"/>
      <c r="BL27" s="933"/>
      <c r="BM27" s="933"/>
      <c r="BN27" s="933"/>
      <c r="BO27" s="1242"/>
      <c r="BP27" s="1242"/>
      <c r="BQ27" s="1242"/>
      <c r="BR27" s="1242"/>
      <c r="BS27" s="1242"/>
      <c r="CI27" s="8"/>
      <c r="CJ27" s="9"/>
      <c r="CK27" s="9"/>
      <c r="CL27" s="9"/>
      <c r="CM27" s="58"/>
    </row>
    <row r="28" spans="1:91" s="1068" customFormat="1" ht="14.25" thickBot="1">
      <c r="A28" s="8">
        <f t="shared" si="1"/>
        <v>16</v>
      </c>
      <c r="B28" s="1242"/>
      <c r="C28" s="99"/>
      <c r="D28" s="99"/>
      <c r="E28" s="55">
        <f>D28-C28</f>
        <v>0</v>
      </c>
      <c r="F28" s="472">
        <f t="shared" si="14"/>
        <v>16</v>
      </c>
      <c r="G28" s="356" t="s">
        <v>1272</v>
      </c>
      <c r="H28" s="960"/>
      <c r="I28" s="956">
        <v>776099.49929999991</v>
      </c>
      <c r="J28" s="956">
        <f>+I28-H28</f>
        <v>776099.49929999991</v>
      </c>
      <c r="K28" s="472">
        <f t="shared" si="3"/>
        <v>16</v>
      </c>
      <c r="L28" s="975" t="s">
        <v>688</v>
      </c>
      <c r="M28" s="476">
        <v>0</v>
      </c>
      <c r="N28" s="476">
        <v>697744.73901240679</v>
      </c>
      <c r="O28" s="347">
        <f>+N28-M28</f>
        <v>697744.73901240679</v>
      </c>
      <c r="P28" s="110"/>
      <c r="Q28" s="8"/>
      <c r="R28" s="8"/>
      <c r="S28" s="547"/>
      <c r="T28" s="1242"/>
      <c r="U28" s="1242"/>
      <c r="V28" s="1242"/>
      <c r="W28" s="1242"/>
      <c r="X28" s="1242"/>
      <c r="Y28" s="1242"/>
      <c r="Z28" s="8"/>
      <c r="AA28" s="15"/>
      <c r="AB28" s="99"/>
      <c r="AC28" s="99"/>
      <c r="AD28" s="99"/>
      <c r="AE28" s="8">
        <f t="shared" si="6"/>
        <v>16</v>
      </c>
      <c r="AF28" s="46" t="s">
        <v>782</v>
      </c>
      <c r="AG28" s="46"/>
      <c r="AH28" s="245">
        <f>AH23-AH26</f>
        <v>50883.154999999999</v>
      </c>
      <c r="AI28" s="245">
        <f>AI23-AI26</f>
        <v>-1606134.243333335</v>
      </c>
      <c r="AJ28" s="49">
        <f>AJ23-AJ26</f>
        <v>-1555251.0883333357</v>
      </c>
      <c r="AK28" s="139">
        <f t="shared" si="7"/>
        <v>16</v>
      </c>
      <c r="AL28" s="989"/>
      <c r="AM28" s="1330"/>
      <c r="AN28" s="1330"/>
      <c r="AO28" s="1330"/>
      <c r="AP28" s="472">
        <f t="shared" si="8"/>
        <v>16</v>
      </c>
      <c r="AQ28" s="968" t="s">
        <v>689</v>
      </c>
      <c r="AR28" s="366">
        <v>0</v>
      </c>
      <c r="AS28" s="996">
        <v>7088065.5894999942</v>
      </c>
      <c r="AT28" s="351">
        <f>+AS28-AR28</f>
        <v>7088065.5894999942</v>
      </c>
      <c r="AU28" s="8">
        <f t="shared" si="13"/>
        <v>16</v>
      </c>
      <c r="AV28" s="269" t="s">
        <v>795</v>
      </c>
      <c r="AW28" s="378"/>
      <c r="AX28" s="378"/>
      <c r="AY28" s="378">
        <f t="shared" si="9"/>
        <v>0</v>
      </c>
      <c r="AZ28" s="8">
        <f t="shared" si="10"/>
        <v>16</v>
      </c>
      <c r="BA28" s="1242"/>
      <c r="BB28" s="1328"/>
      <c r="BC28" s="1328"/>
      <c r="BD28" s="1328"/>
      <c r="BE28" s="1068">
        <f t="shared" si="11"/>
        <v>16</v>
      </c>
      <c r="BF28" s="1068" t="s">
        <v>471</v>
      </c>
      <c r="BG28" s="1344">
        <f>SUM(BG25:BG27)</f>
        <v>0</v>
      </c>
      <c r="BH28" s="1345">
        <f>SUM(BH25:BH27)</f>
        <v>10324092.422502052</v>
      </c>
      <c r="BI28" s="1345">
        <f>SUM(BI25:BI27)</f>
        <v>10324092.422502052</v>
      </c>
      <c r="BJ28" s="933"/>
      <c r="BK28" s="933"/>
      <c r="BL28" s="933"/>
      <c r="BM28" s="933"/>
      <c r="BN28" s="933"/>
      <c r="BO28" s="1242"/>
      <c r="BP28" s="1242"/>
      <c r="BQ28" s="1242"/>
      <c r="BR28" s="1242"/>
      <c r="BS28" s="1242"/>
      <c r="CI28" s="8"/>
      <c r="CJ28" s="134"/>
      <c r="CK28" s="134"/>
      <c r="CL28" s="134"/>
      <c r="CM28" s="134"/>
    </row>
    <row r="29" spans="1:91" s="1068" customFormat="1" ht="14.25" thickTop="1">
      <c r="A29" s="8">
        <f t="shared" si="1"/>
        <v>17</v>
      </c>
      <c r="B29" s="1242" t="s">
        <v>1079</v>
      </c>
      <c r="C29" s="1346">
        <f>C21+C26+C27+C28</f>
        <v>1138357693.027972</v>
      </c>
      <c r="D29" s="1347">
        <f>D21+D26+D27+D28</f>
        <v>815486511.15512276</v>
      </c>
      <c r="E29" s="1347">
        <f>E21+E26+E27+E28</f>
        <v>-322871181.87284911</v>
      </c>
      <c r="F29" s="472">
        <f t="shared" si="14"/>
        <v>17</v>
      </c>
      <c r="G29" s="356" t="s">
        <v>368</v>
      </c>
      <c r="H29" s="476"/>
      <c r="I29" s="1115">
        <v>6884867.0464579072</v>
      </c>
      <c r="J29" s="1115">
        <f>+I29-H29</f>
        <v>6884867.0464579072</v>
      </c>
      <c r="K29" s="472">
        <f t="shared" si="3"/>
        <v>17</v>
      </c>
      <c r="L29" s="1348"/>
      <c r="M29" s="969"/>
      <c r="N29" s="969"/>
      <c r="O29" s="352"/>
      <c r="P29" s="110"/>
      <c r="Q29" s="8"/>
      <c r="R29" s="8"/>
      <c r="S29" s="1242"/>
      <c r="T29" s="1242"/>
      <c r="U29" s="1242"/>
      <c r="V29" s="1242"/>
      <c r="W29" s="1242"/>
      <c r="X29" s="1242"/>
      <c r="Y29" s="1242"/>
      <c r="Z29" s="8"/>
      <c r="AA29" s="15"/>
      <c r="AB29" s="99"/>
      <c r="AC29" s="99"/>
      <c r="AD29" s="99"/>
      <c r="AE29" s="8">
        <f t="shared" si="6"/>
        <v>17</v>
      </c>
      <c r="AF29" s="46"/>
      <c r="AG29" s="46"/>
      <c r="AH29" s="128"/>
      <c r="AI29" s="128"/>
      <c r="AJ29" s="128"/>
      <c r="AK29" s="139">
        <f t="shared" si="7"/>
        <v>17</v>
      </c>
      <c r="AL29" s="477" t="s">
        <v>995</v>
      </c>
      <c r="AM29" s="1330"/>
      <c r="AN29" s="469"/>
      <c r="AO29" s="378">
        <f>+AO27+AO23</f>
        <v>-37532000</v>
      </c>
      <c r="AP29" s="472">
        <f t="shared" si="8"/>
        <v>17</v>
      </c>
      <c r="AQ29" s="1349" t="s">
        <v>39</v>
      </c>
      <c r="AR29" s="1350">
        <f>SUM(AR28:AR28)</f>
        <v>0</v>
      </c>
      <c r="AS29" s="1350">
        <f>SUM(AS28:AS28)</f>
        <v>7088065.5894999942</v>
      </c>
      <c r="AT29" s="1350">
        <f>SUM(AT28:AT28)</f>
        <v>7088065.5894999942</v>
      </c>
      <c r="AU29" s="8">
        <f t="shared" si="13"/>
        <v>17</v>
      </c>
      <c r="AV29" s="269" t="s">
        <v>796</v>
      </c>
      <c r="AW29" s="378">
        <v>82650.673750000002</v>
      </c>
      <c r="AX29" s="1342">
        <v>31788.720561594164</v>
      </c>
      <c r="AY29" s="1342">
        <f t="shared" si="9"/>
        <v>-50861.953188405838</v>
      </c>
      <c r="AZ29" s="8">
        <f t="shared" si="10"/>
        <v>17</v>
      </c>
      <c r="BA29" s="9" t="s">
        <v>1274</v>
      </c>
      <c r="BB29" s="151"/>
      <c r="BC29" s="151"/>
      <c r="BD29" s="151"/>
      <c r="BG29" s="745"/>
      <c r="BH29" s="745"/>
      <c r="BI29" s="745"/>
      <c r="BJ29" s="933"/>
      <c r="BK29" s="933"/>
      <c r="BL29" s="933"/>
      <c r="BM29" s="933"/>
      <c r="BN29" s="933"/>
      <c r="BO29" s="1242"/>
      <c r="BP29" s="1242"/>
      <c r="BQ29" s="1242"/>
      <c r="BR29" s="1242"/>
      <c r="BS29" s="1242"/>
      <c r="CI29" s="8"/>
      <c r="CJ29" s="1242"/>
      <c r="CK29" s="1242"/>
      <c r="CL29" s="1242"/>
      <c r="CM29" s="1242"/>
    </row>
    <row r="30" spans="1:91" s="1068" customFormat="1" ht="13.5">
      <c r="A30" s="8">
        <f t="shared" si="1"/>
        <v>18</v>
      </c>
      <c r="B30" s="112" t="s">
        <v>605</v>
      </c>
      <c r="C30" s="55">
        <f>'JHS-19'!C32+'JHS-20.01(A)'!H30-SUM(AW50:AW54)</f>
        <v>101194084.30131838</v>
      </c>
      <c r="D30" s="1102">
        <f>'JHS-20.01(A)'!N30</f>
        <v>113291294.6302499</v>
      </c>
      <c r="E30" s="1102">
        <f>D30-C30</f>
        <v>12097210.328931525</v>
      </c>
      <c r="F30" s="472">
        <f t="shared" si="14"/>
        <v>18</v>
      </c>
      <c r="G30" s="356" t="s">
        <v>1202</v>
      </c>
      <c r="H30" s="476">
        <v>0</v>
      </c>
      <c r="I30" s="476">
        <v>10891022.50639385</v>
      </c>
      <c r="J30" s="958">
        <f>+I30-H30</f>
        <v>10891022.50639385</v>
      </c>
      <c r="K30" s="472">
        <f t="shared" si="3"/>
        <v>18</v>
      </c>
      <c r="L30" s="1349" t="s">
        <v>39</v>
      </c>
      <c r="M30" s="476">
        <f>M27+M28</f>
        <v>0</v>
      </c>
      <c r="N30" s="476">
        <f>N27+N28</f>
        <v>1117947.3241648921</v>
      </c>
      <c r="O30" s="476">
        <f>O27+O28</f>
        <v>1117947.3241648921</v>
      </c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8"/>
      <c r="AC30" s="128"/>
      <c r="AD30" s="128"/>
      <c r="AE30" s="8">
        <f t="shared" si="6"/>
        <v>18</v>
      </c>
      <c r="AF30" s="1242"/>
      <c r="AG30" s="1242"/>
      <c r="AH30" s="128"/>
      <c r="AI30" s="128"/>
      <c r="AJ30" s="128"/>
      <c r="AK30" s="139">
        <f t="shared" si="7"/>
        <v>18</v>
      </c>
      <c r="AL30" s="269" t="str">
        <f>"INCREASE (DECREASE) FIT (ON LINE "&amp;AK21&amp;")"</f>
        <v>INCREASE (DECREASE) FIT (ON LINE 9)</v>
      </c>
      <c r="AM30" s="1330"/>
      <c r="AN30" s="469"/>
      <c r="AO30" s="378">
        <v>5017000</v>
      </c>
      <c r="AP30" s="472">
        <f t="shared" si="8"/>
        <v>18</v>
      </c>
      <c r="AQ30" s="474"/>
      <c r="AR30" s="476"/>
      <c r="AS30" s="476"/>
      <c r="AT30" s="476"/>
      <c r="AU30" s="8">
        <f t="shared" si="13"/>
        <v>18</v>
      </c>
      <c r="AV30" s="269" t="s">
        <v>797</v>
      </c>
      <c r="AW30" s="378">
        <v>212105.57</v>
      </c>
      <c r="AX30" s="1342">
        <v>-0.30064516107086092</v>
      </c>
      <c r="AY30" s="1342">
        <f t="shared" si="9"/>
        <v>-212105.87064516108</v>
      </c>
      <c r="AZ30" s="8">
        <f t="shared" si="10"/>
        <v>18</v>
      </c>
      <c r="BA30" s="9" t="s">
        <v>63</v>
      </c>
      <c r="BB30" s="1095">
        <f>ROUND('Restated TY'!F18,0)</f>
        <v>7169159</v>
      </c>
      <c r="BC30" s="1095">
        <f>+BB30*-$BC$11</f>
        <v>-150480.64741000001</v>
      </c>
      <c r="BD30" s="1095">
        <f>ROUND(+BC30*-$BD$11,0)</f>
        <v>52668</v>
      </c>
      <c r="BE30" s="476"/>
      <c r="BF30" s="476"/>
      <c r="BG30" s="476"/>
      <c r="BH30" s="476"/>
      <c r="BI30" s="476"/>
      <c r="BJ30" s="933"/>
      <c r="BK30" s="933"/>
      <c r="BL30" s="933"/>
      <c r="BM30" s="933"/>
      <c r="BN30" s="933"/>
      <c r="BO30" s="1242"/>
      <c r="BP30" s="1242"/>
      <c r="BQ30" s="1242"/>
      <c r="BR30" s="1242"/>
      <c r="BS30" s="1242"/>
      <c r="CI30" s="8"/>
      <c r="CJ30" s="1242"/>
      <c r="CK30" s="1242"/>
      <c r="CL30" s="1242"/>
      <c r="CM30" s="1242"/>
    </row>
    <row r="31" spans="1:91" s="1068" customFormat="1" ht="13.5">
      <c r="A31" s="8">
        <f t="shared" si="1"/>
        <v>19</v>
      </c>
      <c r="B31" s="12" t="s">
        <v>22</v>
      </c>
      <c r="C31" s="5">
        <v>1419634.77</v>
      </c>
      <c r="D31" s="5">
        <f>'JHS-20.01(A)'!N32</f>
        <v>1389836.8613500001</v>
      </c>
      <c r="E31" s="5">
        <f>D31-C31</f>
        <v>-29797.908649999881</v>
      </c>
      <c r="F31" s="472">
        <f t="shared" si="14"/>
        <v>19</v>
      </c>
      <c r="G31" s="356" t="s">
        <v>381</v>
      </c>
      <c r="H31" s="957">
        <v>0</v>
      </c>
      <c r="I31" s="476">
        <v>521840.79016554449</v>
      </c>
      <c r="J31" s="476">
        <f>+I31-H31</f>
        <v>521840.79016554449</v>
      </c>
      <c r="K31" s="472">
        <f t="shared" si="3"/>
        <v>19</v>
      </c>
      <c r="L31" s="474"/>
      <c r="M31" s="476"/>
      <c r="N31" s="476"/>
      <c r="O31" s="476"/>
      <c r="P31" s="1242"/>
      <c r="Q31" s="1242"/>
      <c r="R31" s="1242"/>
      <c r="S31" s="1242"/>
      <c r="T31" s="112"/>
      <c r="U31" s="1242"/>
      <c r="V31" s="1242"/>
      <c r="W31" s="1242"/>
      <c r="X31" s="1242"/>
      <c r="Y31" s="1242"/>
      <c r="Z31" s="1242"/>
      <c r="AA31" s="1242"/>
      <c r="AB31" s="128"/>
      <c r="AC31" s="128"/>
      <c r="AD31" s="128"/>
      <c r="AE31" s="8">
        <f t="shared" si="6"/>
        <v>19</v>
      </c>
      <c r="AF31" s="35" t="s">
        <v>863</v>
      </c>
      <c r="AG31" s="35"/>
      <c r="AH31" s="333"/>
      <c r="AI31" s="333"/>
      <c r="AJ31" s="128"/>
      <c r="AK31" s="139">
        <f t="shared" si="7"/>
        <v>19</v>
      </c>
      <c r="AL31" s="269" t="str">
        <f>"INCREASE (DECREASE) FIT (ON LINE "&amp;AK27&amp;")"</f>
        <v>INCREASE (DECREASE) FIT (ON LINE 15)</v>
      </c>
      <c r="AM31" s="1330"/>
      <c r="AN31" s="469">
        <v>0.35</v>
      </c>
      <c r="AO31" s="550">
        <f>-AO27*AN31</f>
        <v>2230900</v>
      </c>
      <c r="AP31" s="472">
        <f t="shared" si="8"/>
        <v>19</v>
      </c>
      <c r="AQ31" s="1348" t="s">
        <v>35</v>
      </c>
      <c r="AR31" s="1351"/>
      <c r="AS31" s="244">
        <f>FIT</f>
        <v>0.35</v>
      </c>
      <c r="AT31" s="5">
        <f>ROUND(-AT29*AS31,0)</f>
        <v>-2480823</v>
      </c>
      <c r="AU31" s="8">
        <f t="shared" si="13"/>
        <v>19</v>
      </c>
      <c r="AV31" s="269" t="s">
        <v>798</v>
      </c>
      <c r="AW31" s="378">
        <v>590967.09000000008</v>
      </c>
      <c r="AX31" s="1342">
        <v>0</v>
      </c>
      <c r="AY31" s="1342">
        <f t="shared" si="9"/>
        <v>-590967.09000000008</v>
      </c>
      <c r="AZ31" s="8">
        <f t="shared" si="10"/>
        <v>19</v>
      </c>
      <c r="BA31" s="9" t="s">
        <v>64</v>
      </c>
      <c r="BB31" s="1095">
        <f>ROUND('Restated TY'!F31,0)</f>
        <v>7050410</v>
      </c>
      <c r="BC31" s="1095">
        <f>+BB31*-$BC$11</f>
        <v>-147988.10590000002</v>
      </c>
      <c r="BD31" s="1095">
        <f>ROUND(+BC31*-$BD$11,0)</f>
        <v>51796</v>
      </c>
      <c r="BE31" s="99"/>
      <c r="BF31" s="99"/>
      <c r="BG31" s="99"/>
      <c r="BH31" s="99"/>
      <c r="BI31" s="99"/>
      <c r="BJ31" s="933"/>
      <c r="BK31" s="933"/>
      <c r="BL31" s="933"/>
      <c r="BM31" s="933"/>
      <c r="BN31" s="933"/>
      <c r="BO31" s="1242"/>
      <c r="BP31" s="1242"/>
      <c r="BQ31" s="1242"/>
      <c r="BR31" s="1242"/>
      <c r="BS31" s="1242"/>
      <c r="CI31" s="8"/>
      <c r="CJ31" s="130"/>
      <c r="CK31" s="130"/>
      <c r="CL31" s="130"/>
      <c r="CM31" s="130"/>
    </row>
    <row r="32" spans="1:91" s="1068" customFormat="1" ht="14.25" thickBot="1">
      <c r="A32" s="8">
        <f t="shared" si="1"/>
        <v>20</v>
      </c>
      <c r="B32" s="1242"/>
      <c r="C32" s="1242"/>
      <c r="D32" s="1242"/>
      <c r="E32" s="165"/>
      <c r="F32" s="472">
        <f t="shared" si="14"/>
        <v>20</v>
      </c>
      <c r="G32" s="356" t="s">
        <v>1254</v>
      </c>
      <c r="H32" s="962"/>
      <c r="I32" s="1116">
        <v>1932987</v>
      </c>
      <c r="J32" s="1116">
        <f>+I32-H32</f>
        <v>1932987</v>
      </c>
      <c r="K32" s="472">
        <f t="shared" si="3"/>
        <v>20</v>
      </c>
      <c r="L32" s="1348" t="s">
        <v>35</v>
      </c>
      <c r="M32" s="1351"/>
      <c r="N32" s="244">
        <f>FIT</f>
        <v>0.35</v>
      </c>
      <c r="O32" s="5">
        <f>ROUND(-O30*N32,0)</f>
        <v>-391282</v>
      </c>
      <c r="P32" s="1242"/>
      <c r="Q32" s="1242"/>
      <c r="R32" s="1242"/>
      <c r="S32" s="1242"/>
      <c r="T32" s="134"/>
      <c r="U32" s="1242"/>
      <c r="V32" s="1242"/>
      <c r="W32" s="1242"/>
      <c r="X32" s="1242"/>
      <c r="Y32" s="1242"/>
      <c r="Z32" s="1242"/>
      <c r="AA32" s="1242"/>
      <c r="AB32" s="128"/>
      <c r="AC32" s="128"/>
      <c r="AD32" s="128"/>
      <c r="AE32" s="8">
        <f t="shared" si="6"/>
        <v>20</v>
      </c>
      <c r="AF32" s="75" t="s">
        <v>500</v>
      </c>
      <c r="AG32" s="75"/>
      <c r="AH32" s="248"/>
      <c r="AI32" s="248"/>
      <c r="AJ32" s="128"/>
      <c r="AK32" s="139">
        <f t="shared" si="7"/>
        <v>20</v>
      </c>
      <c r="AL32" s="269" t="s">
        <v>369</v>
      </c>
      <c r="AM32" s="1330"/>
      <c r="AN32" s="1242"/>
      <c r="AO32" s="1242"/>
      <c r="AP32" s="472">
        <f t="shared" si="8"/>
        <v>20</v>
      </c>
      <c r="AQ32" s="1348" t="s">
        <v>369</v>
      </c>
      <c r="AR32" s="1352"/>
      <c r="AS32" s="1352"/>
      <c r="AT32" s="1341">
        <f>-AT29-AT31</f>
        <v>-4607242.5894999942</v>
      </c>
      <c r="AU32" s="8">
        <f t="shared" si="13"/>
        <v>20</v>
      </c>
      <c r="AV32" s="269" t="s">
        <v>799</v>
      </c>
      <c r="AW32" s="378">
        <v>62507.866666666669</v>
      </c>
      <c r="AX32" s="1342">
        <v>0</v>
      </c>
      <c r="AY32" s="1342">
        <f t="shared" si="9"/>
        <v>-62507.866666666669</v>
      </c>
      <c r="AZ32" s="8">
        <f t="shared" si="10"/>
        <v>20</v>
      </c>
      <c r="BA32" s="9" t="s">
        <v>65</v>
      </c>
      <c r="BB32" s="1095">
        <f>+T16</f>
        <v>1682986.3141500002</v>
      </c>
      <c r="BC32" s="1095">
        <f>+BB32*-$BC$11</f>
        <v>-35325.882734008504</v>
      </c>
      <c r="BD32" s="1095">
        <f>ROUND(+BC32*-$BD$11,0)</f>
        <v>12364</v>
      </c>
      <c r="BE32" s="135"/>
      <c r="BF32" s="135"/>
      <c r="BG32" s="135"/>
      <c r="BH32" s="135"/>
      <c r="BI32" s="135"/>
      <c r="BJ32" s="933"/>
      <c r="BK32" s="933"/>
      <c r="BL32" s="933"/>
      <c r="BM32" s="933"/>
      <c r="BN32" s="933"/>
      <c r="BO32" s="1242"/>
      <c r="BP32" s="1242"/>
      <c r="BQ32" s="1242"/>
      <c r="BR32" s="1242"/>
      <c r="BS32" s="1242"/>
      <c r="CI32" s="8"/>
      <c r="CJ32" s="109"/>
      <c r="CK32" s="109"/>
      <c r="CL32" s="109"/>
      <c r="CM32" s="109"/>
    </row>
    <row r="33" spans="1:91" s="1068" customFormat="1" ht="15" thickTop="1" thickBot="1">
      <c r="A33" s="8">
        <f t="shared" si="1"/>
        <v>21</v>
      </c>
      <c r="B33" s="9" t="s">
        <v>944</v>
      </c>
      <c r="C33" s="128">
        <f>SUM(C29:C31)</f>
        <v>1240971412.0992904</v>
      </c>
      <c r="D33" s="1095">
        <f>SUM(D29:D31)</f>
        <v>930167642.64672267</v>
      </c>
      <c r="E33" s="1095">
        <f>SUM(E29:E31)</f>
        <v>-310803769.45256758</v>
      </c>
      <c r="F33" s="472">
        <f t="shared" ref="F33:F38" si="15">F32+1</f>
        <v>21</v>
      </c>
      <c r="G33" s="269" t="s">
        <v>1203</v>
      </c>
      <c r="H33" s="476">
        <f>SUM(H28:H32)</f>
        <v>0</v>
      </c>
      <c r="I33" s="1115">
        <f>SUM(I28:I32)</f>
        <v>21006816.842317302</v>
      </c>
      <c r="J33" s="1115">
        <f>SUM(J28:J32)</f>
        <v>21006816.842317302</v>
      </c>
      <c r="K33" s="472">
        <f t="shared" si="3"/>
        <v>21</v>
      </c>
      <c r="L33" s="1348" t="s">
        <v>369</v>
      </c>
      <c r="M33" s="1352"/>
      <c r="N33" s="1352"/>
      <c r="O33" s="1341">
        <f>-O30-O32</f>
        <v>-726665.32416489208</v>
      </c>
      <c r="P33" s="1242"/>
      <c r="Q33" s="1242"/>
      <c r="R33" s="1242"/>
      <c r="S33" s="1242"/>
      <c r="T33" s="134"/>
      <c r="U33" s="1242"/>
      <c r="V33" s="1242"/>
      <c r="W33" s="1242"/>
      <c r="X33" s="1242"/>
      <c r="Y33" s="1242"/>
      <c r="Z33" s="1242"/>
      <c r="AA33" s="1242"/>
      <c r="AB33" s="128"/>
      <c r="AC33" s="128"/>
      <c r="AD33" s="128"/>
      <c r="AE33" s="8">
        <f t="shared" si="6"/>
        <v>21</v>
      </c>
      <c r="AF33" s="1242" t="s">
        <v>501</v>
      </c>
      <c r="AG33" s="1242"/>
      <c r="AH33" s="1242"/>
      <c r="AI33" s="1242"/>
      <c r="AJ33" s="1242"/>
      <c r="AK33" s="139">
        <f t="shared" si="7"/>
        <v>21</v>
      </c>
      <c r="AL33" s="990" t="s">
        <v>923</v>
      </c>
      <c r="AM33" s="1330"/>
      <c r="AN33" s="1242"/>
      <c r="AO33" s="991">
        <f>-AO29-AO31-AO30</f>
        <v>30284100</v>
      </c>
      <c r="AP33" s="1242"/>
      <c r="AQ33" s="354"/>
      <c r="AS33" s="745"/>
      <c r="AT33" s="745"/>
      <c r="AU33" s="8">
        <f t="shared" si="13"/>
        <v>21</v>
      </c>
      <c r="AV33" s="269" t="s">
        <v>800</v>
      </c>
      <c r="AW33" s="523">
        <v>678973.42666666664</v>
      </c>
      <c r="AX33" s="1353">
        <v>0</v>
      </c>
      <c r="AY33" s="1353">
        <f t="shared" si="9"/>
        <v>-678973.42666666664</v>
      </c>
      <c r="AZ33" s="8">
        <f t="shared" si="10"/>
        <v>21</v>
      </c>
      <c r="BA33" s="9" t="s">
        <v>604</v>
      </c>
      <c r="BB33" s="128">
        <f>'Production Adjustment'!F16</f>
        <v>2022345.8613809925</v>
      </c>
      <c r="BC33" s="128">
        <f>+BB33*-$BC$11</f>
        <v>-42449.039630387037</v>
      </c>
      <c r="BD33" s="128">
        <f>ROUND(+BC33*-$BD$11,0)</f>
        <v>14857</v>
      </c>
      <c r="BE33" s="548"/>
      <c r="BF33" s="548"/>
      <c r="BG33" s="548"/>
      <c r="BH33" s="548"/>
      <c r="BI33" s="548"/>
      <c r="BJ33" s="933"/>
      <c r="BK33" s="933"/>
      <c r="BL33" s="933"/>
      <c r="BM33" s="933"/>
      <c r="BN33" s="933"/>
      <c r="BO33" s="1242"/>
      <c r="BP33" s="1242"/>
      <c r="BQ33" s="1242"/>
      <c r="BR33" s="1242"/>
      <c r="BS33" s="1242"/>
      <c r="CI33" s="8"/>
      <c r="CJ33" s="109"/>
      <c r="CK33" s="109"/>
      <c r="CL33" s="109"/>
      <c r="CM33" s="109"/>
    </row>
    <row r="34" spans="1:91" s="1068" customFormat="1" ht="14.25" thickTop="1">
      <c r="A34" s="8">
        <f t="shared" si="1"/>
        <v>22</v>
      </c>
      <c r="B34" s="1242"/>
      <c r="C34" s="1327"/>
      <c r="D34" s="1327"/>
      <c r="E34" s="1327"/>
      <c r="F34" s="472">
        <f t="shared" si="15"/>
        <v>22</v>
      </c>
      <c r="G34" s="269"/>
      <c r="H34" s="476"/>
      <c r="I34" s="476"/>
      <c r="J34" s="476"/>
      <c r="M34" s="745"/>
      <c r="N34" s="745"/>
      <c r="O34" s="745"/>
      <c r="P34" s="1242"/>
      <c r="Q34" s="1242"/>
      <c r="R34" s="1242"/>
      <c r="S34" s="1242"/>
      <c r="T34" s="112"/>
      <c r="U34" s="1242"/>
      <c r="V34" s="1242"/>
      <c r="W34" s="1242"/>
      <c r="X34" s="1242"/>
      <c r="Y34" s="1242"/>
      <c r="Z34" s="1242"/>
      <c r="AA34" s="1242"/>
      <c r="AB34" s="128"/>
      <c r="AC34" s="128"/>
      <c r="AD34" s="128"/>
      <c r="AE34" s="8">
        <f t="shared" si="6"/>
        <v>22</v>
      </c>
      <c r="AF34" s="421" t="s">
        <v>828</v>
      </c>
      <c r="AG34" s="245">
        <v>283161.3599999994</v>
      </c>
      <c r="AH34" s="245"/>
      <c r="AI34" s="49"/>
      <c r="AJ34" s="1242"/>
      <c r="AK34" s="139">
        <f t="shared" si="7"/>
        <v>22</v>
      </c>
      <c r="AL34" s="992"/>
      <c r="AM34" s="992"/>
      <c r="AN34" s="992"/>
      <c r="AO34" s="992"/>
      <c r="AP34" s="1242"/>
      <c r="AQ34" s="354"/>
      <c r="AU34" s="8">
        <f t="shared" si="13"/>
        <v>22</v>
      </c>
      <c r="AV34" s="269" t="s">
        <v>1118</v>
      </c>
      <c r="AW34" s="465">
        <f>SUM(AW14:AW33)</f>
        <v>76381597.617083326</v>
      </c>
      <c r="AX34" s="1354">
        <f>SUM(AX14:AX33)</f>
        <v>54841615.555280007</v>
      </c>
      <c r="AY34" s="1354">
        <f>SUM(AY14:AY33)</f>
        <v>-21539982.061803341</v>
      </c>
      <c r="AZ34" s="8">
        <f t="shared" si="10"/>
        <v>22</v>
      </c>
      <c r="BA34" s="9" t="s">
        <v>867</v>
      </c>
      <c r="BB34" s="1355">
        <f>SUM(BB29:BB33)</f>
        <v>17924901.175530992</v>
      </c>
      <c r="BC34" s="1355">
        <f>SUM(BC29:BC33)</f>
        <v>-376243.67567439558</v>
      </c>
      <c r="BD34" s="1355">
        <f>SUM(BD29:BD33)</f>
        <v>131685</v>
      </c>
      <c r="BE34" s="548"/>
      <c r="BF34" s="548"/>
      <c r="BG34" s="548"/>
      <c r="BH34" s="548"/>
      <c r="BI34" s="548"/>
      <c r="BJ34" s="933"/>
      <c r="BK34" s="933"/>
      <c r="BL34" s="933"/>
      <c r="BM34" s="933"/>
      <c r="BN34" s="933"/>
      <c r="BO34" s="1242"/>
      <c r="BP34" s="1242"/>
      <c r="BQ34" s="1242"/>
      <c r="BR34" s="1242"/>
      <c r="BS34" s="1242"/>
      <c r="CI34" s="8"/>
      <c r="CJ34" s="109"/>
      <c r="CK34" s="109"/>
      <c r="CL34" s="109"/>
      <c r="CM34" s="109"/>
    </row>
    <row r="35" spans="1:91" s="1068" customFormat="1" ht="13.5">
      <c r="A35" s="8">
        <f t="shared" si="1"/>
        <v>23</v>
      </c>
      <c r="B35" s="12" t="str">
        <f>"INCREASE (DECREASE) OPERATING INCOME (LINE "&amp;A19&amp;" - LINE "&amp;A33&amp;")"</f>
        <v>INCREASE (DECREASE) OPERATING INCOME (LINE 7 - LINE 21)</v>
      </c>
      <c r="C35" s="134">
        <f>C19-C33</f>
        <v>-1065754293.8892903</v>
      </c>
      <c r="D35" s="425">
        <f>D19-D33</f>
        <v>-876279956.75261807</v>
      </c>
      <c r="E35" s="425">
        <f>E19-E33</f>
        <v>189474337.1366722</v>
      </c>
      <c r="F35" s="472">
        <f t="shared" si="15"/>
        <v>23</v>
      </c>
      <c r="G35" s="477" t="s">
        <v>1204</v>
      </c>
      <c r="H35" s="476">
        <f>H22+H33</f>
        <v>0</v>
      </c>
      <c r="I35" s="1115">
        <f>I24+I33</f>
        <v>53829055.380249307</v>
      </c>
      <c r="J35" s="1115">
        <f>J24+J33</f>
        <v>53829055.380249307</v>
      </c>
      <c r="M35" s="745"/>
      <c r="N35" s="745"/>
      <c r="O35" s="745"/>
      <c r="P35" s="1242"/>
      <c r="Q35" s="1242"/>
      <c r="R35" s="1242"/>
      <c r="S35" s="1242"/>
      <c r="T35" s="112"/>
      <c r="U35" s="1242"/>
      <c r="V35" s="1242"/>
      <c r="W35" s="1242"/>
      <c r="X35" s="1242"/>
      <c r="Y35" s="1242"/>
      <c r="Z35" s="1242"/>
      <c r="AA35" s="1242"/>
      <c r="AB35" s="128"/>
      <c r="AC35" s="128"/>
      <c r="AD35" s="128"/>
      <c r="AE35" s="8">
        <f t="shared" si="6"/>
        <v>23</v>
      </c>
      <c r="AF35" s="421" t="s">
        <v>1082</v>
      </c>
      <c r="AG35" s="151">
        <v>13794354.1</v>
      </c>
      <c r="AH35" s="1242"/>
      <c r="AI35" s="1242"/>
      <c r="AJ35" s="1242"/>
      <c r="AK35" s="139">
        <f t="shared" si="7"/>
        <v>23</v>
      </c>
      <c r="AL35" s="992"/>
      <c r="AM35" s="992"/>
      <c r="AN35" s="992"/>
      <c r="AO35" s="992"/>
      <c r="AP35" s="1242"/>
      <c r="AQ35" s="354"/>
      <c r="AR35" s="548"/>
      <c r="AS35" s="548"/>
      <c r="AT35" s="548"/>
      <c r="AU35" s="8">
        <f t="shared" si="13"/>
        <v>23</v>
      </c>
      <c r="AV35" s="269"/>
      <c r="AW35" s="467"/>
      <c r="AX35" s="467"/>
      <c r="AY35" s="467"/>
      <c r="AZ35" s="8">
        <f t="shared" si="10"/>
        <v>23</v>
      </c>
      <c r="BA35" s="9"/>
      <c r="BB35" s="1328"/>
      <c r="BC35" s="1328"/>
      <c r="BD35" s="1328"/>
      <c r="BE35" s="548"/>
      <c r="BF35" s="548"/>
      <c r="BG35" s="548"/>
      <c r="BH35" s="548"/>
      <c r="BI35" s="548"/>
      <c r="BJ35" s="933"/>
      <c r="BK35" s="933"/>
      <c r="BL35" s="933"/>
      <c r="BM35" s="933"/>
      <c r="BN35" s="933"/>
      <c r="BO35" s="1242"/>
      <c r="BP35" s="1242"/>
      <c r="BQ35" s="1242"/>
      <c r="BR35" s="1242"/>
      <c r="BS35" s="1242"/>
      <c r="CI35" s="8"/>
      <c r="CJ35" s="1242"/>
      <c r="CK35" s="1242"/>
      <c r="CL35" s="1242"/>
      <c r="CM35" s="1242"/>
    </row>
    <row r="36" spans="1:91" s="1068" customFormat="1">
      <c r="A36" s="8">
        <f t="shared" si="1"/>
        <v>24</v>
      </c>
      <c r="B36" s="1242"/>
      <c r="C36" s="128"/>
      <c r="D36" s="128"/>
      <c r="E36" s="1242"/>
      <c r="F36" s="472">
        <f t="shared" si="15"/>
        <v>24</v>
      </c>
      <c r="G36" s="477"/>
      <c r="H36" s="476"/>
      <c r="I36" s="476"/>
      <c r="J36" s="476"/>
      <c r="P36" s="1242"/>
      <c r="Q36" s="1242"/>
      <c r="R36" s="1242"/>
      <c r="S36" s="1242"/>
      <c r="T36" s="112"/>
      <c r="U36" s="1242"/>
      <c r="V36" s="1242"/>
      <c r="W36" s="1242"/>
      <c r="X36" s="1242"/>
      <c r="Y36" s="1242"/>
      <c r="Z36" s="1242"/>
      <c r="AA36" s="1242"/>
      <c r="AB36" s="128"/>
      <c r="AC36" s="128"/>
      <c r="AD36" s="128"/>
      <c r="AE36" s="8">
        <f t="shared" si="6"/>
        <v>24</v>
      </c>
      <c r="AF36" s="421" t="s">
        <v>835</v>
      </c>
      <c r="AG36" s="151">
        <v>1998778.99</v>
      </c>
      <c r="AH36" s="1242"/>
      <c r="AI36" s="1242"/>
      <c r="AJ36" s="1242"/>
      <c r="AK36" s="139">
        <f t="shared" si="7"/>
        <v>24</v>
      </c>
      <c r="AL36" s="992"/>
      <c r="AM36" s="992"/>
      <c r="AN36" s="992"/>
      <c r="AO36" s="992"/>
      <c r="AP36" s="1242"/>
      <c r="AQ36" s="343"/>
      <c r="AR36" s="339"/>
      <c r="AS36" s="269"/>
      <c r="AT36" s="534"/>
      <c r="AU36" s="8">
        <f t="shared" si="13"/>
        <v>24</v>
      </c>
      <c r="AV36" s="468"/>
      <c r="AW36" s="368"/>
      <c r="AX36" s="368"/>
      <c r="AY36" s="368"/>
      <c r="AZ36" s="8">
        <f t="shared" si="10"/>
        <v>24</v>
      </c>
      <c r="BA36" s="63" t="s">
        <v>286</v>
      </c>
      <c r="BB36" s="151"/>
      <c r="BC36" s="151"/>
      <c r="BD36" s="151"/>
      <c r="BE36" s="534"/>
      <c r="BF36" s="534"/>
      <c r="BG36" s="534"/>
      <c r="BH36" s="534"/>
      <c r="BI36" s="534"/>
      <c r="BJ36" s="933"/>
      <c r="BK36" s="933"/>
      <c r="BL36" s="933"/>
      <c r="BM36" s="933"/>
      <c r="BN36" s="933"/>
      <c r="BO36" s="1242"/>
      <c r="BP36" s="1242"/>
      <c r="BQ36" s="1242"/>
      <c r="BR36" s="1242"/>
      <c r="BS36" s="1242"/>
      <c r="CI36" s="8"/>
      <c r="CJ36" s="163"/>
      <c r="CK36" s="163"/>
      <c r="CL36" s="163"/>
      <c r="CM36" s="163"/>
    </row>
    <row r="37" spans="1:91" s="1068" customFormat="1" ht="13.5">
      <c r="A37" s="8">
        <f t="shared" si="1"/>
        <v>25</v>
      </c>
      <c r="B37" s="1242" t="str">
        <f>"STATE UTILITY TAX SAVINGS FOR LINE "&amp;A16</f>
        <v>STATE UTILITY TAX SAVINGS FOR LINE 4</v>
      </c>
      <c r="C37" s="123">
        <f>'JHS-22'!L15</f>
        <v>3.8730000000000001E-2</v>
      </c>
      <c r="D37" s="1242"/>
      <c r="E37" s="1190">
        <f>-E16*C37</f>
        <v>-117001.00262366654</v>
      </c>
      <c r="F37" s="472">
        <f t="shared" si="15"/>
        <v>25</v>
      </c>
      <c r="G37" s="269" t="s">
        <v>279</v>
      </c>
      <c r="H37" s="99"/>
      <c r="I37" s="244">
        <f>FIT</f>
        <v>0.35</v>
      </c>
      <c r="J37" s="1103">
        <f>ROUND((-J35+J23)*I37,0)</f>
        <v>-17147563</v>
      </c>
      <c r="P37" s="1242"/>
      <c r="Q37" s="1242"/>
      <c r="R37" s="1242"/>
      <c r="S37" s="1242"/>
      <c r="T37" s="1242"/>
      <c r="U37" s="1242"/>
      <c r="V37" s="1242"/>
      <c r="W37" s="1242"/>
      <c r="X37" s="1242"/>
      <c r="Y37" s="1242"/>
      <c r="Z37" s="1242"/>
      <c r="AA37" s="1242"/>
      <c r="AB37" s="128"/>
      <c r="AC37" s="128"/>
      <c r="AD37" s="151"/>
      <c r="AE37" s="8">
        <f t="shared" si="6"/>
        <v>25</v>
      </c>
      <c r="AF37" s="79" t="s">
        <v>760</v>
      </c>
      <c r="AG37" s="151">
        <v>86184.68</v>
      </c>
      <c r="AH37" s="1242"/>
      <c r="AI37" s="1242"/>
      <c r="AJ37" s="1242"/>
      <c r="AK37" s="139">
        <f t="shared" si="7"/>
        <v>25</v>
      </c>
      <c r="AL37" s="992" t="s">
        <v>1106</v>
      </c>
      <c r="AM37" s="992"/>
      <c r="AN37" s="992"/>
      <c r="AO37" s="992"/>
      <c r="AP37" s="8"/>
      <c r="AQ37" s="343"/>
      <c r="AR37" s="343"/>
      <c r="AS37" s="343"/>
      <c r="AT37" s="343"/>
      <c r="AU37" s="8">
        <f t="shared" si="13"/>
        <v>25</v>
      </c>
      <c r="AV37" s="468" t="s">
        <v>1216</v>
      </c>
      <c r="AW37" s="378"/>
      <c r="AX37" s="378"/>
      <c r="AY37" s="378"/>
      <c r="AZ37" s="8">
        <f t="shared" si="10"/>
        <v>25</v>
      </c>
      <c r="BA37" s="9"/>
      <c r="BB37" s="151"/>
      <c r="BC37" s="128"/>
      <c r="BD37" s="128"/>
      <c r="BE37" s="343"/>
      <c r="BF37" s="343"/>
      <c r="BG37" s="343"/>
      <c r="BH37" s="343"/>
      <c r="BI37" s="343"/>
      <c r="BJ37" s="933"/>
      <c r="BK37" s="933"/>
      <c r="BL37" s="933"/>
      <c r="BM37" s="933"/>
      <c r="BN37" s="933"/>
      <c r="BO37" s="1242"/>
      <c r="BP37" s="1242"/>
      <c r="BQ37" s="1242"/>
      <c r="BR37" s="1242"/>
      <c r="BS37" s="1242"/>
      <c r="CI37" s="8"/>
      <c r="CJ37" s="129"/>
      <c r="CK37" s="129"/>
      <c r="CL37" s="129"/>
      <c r="CM37" s="129"/>
    </row>
    <row r="38" spans="1:91" s="1068" customFormat="1" ht="14.25" thickBot="1">
      <c r="A38" s="8">
        <f t="shared" si="1"/>
        <v>26</v>
      </c>
      <c r="B38" s="9" t="s">
        <v>27</v>
      </c>
      <c r="C38" s="110"/>
      <c r="D38" s="110"/>
      <c r="E38" s="1105">
        <f>E35+E37</f>
        <v>189357336.13404852</v>
      </c>
      <c r="F38" s="472">
        <f t="shared" si="15"/>
        <v>26</v>
      </c>
      <c r="G38" s="269" t="s">
        <v>369</v>
      </c>
      <c r="H38" s="135"/>
      <c r="I38" s="135"/>
      <c r="J38" s="1356">
        <f>-J35-J37</f>
        <v>-36681492.380249307</v>
      </c>
      <c r="P38" s="1242"/>
      <c r="Q38" s="1242"/>
      <c r="R38" s="1242"/>
      <c r="S38" s="1242"/>
      <c r="T38" s="1242"/>
      <c r="U38" s="1242"/>
      <c r="V38" s="1242"/>
      <c r="W38" s="1242"/>
      <c r="X38" s="1242"/>
      <c r="Y38" s="1242"/>
      <c r="Z38" s="748"/>
      <c r="AA38" s="748"/>
      <c r="AB38" s="748"/>
      <c r="AC38" s="128"/>
      <c r="AD38" s="151"/>
      <c r="AE38" s="8">
        <f t="shared" si="6"/>
        <v>26</v>
      </c>
      <c r="AF38" s="79" t="s">
        <v>761</v>
      </c>
      <c r="AG38" s="147">
        <v>13909768.960000001</v>
      </c>
      <c r="AH38" s="1242"/>
      <c r="AI38" s="1242"/>
      <c r="AJ38" s="1242"/>
      <c r="AK38" s="139">
        <f t="shared" si="7"/>
        <v>26</v>
      </c>
      <c r="AL38" s="993" t="s">
        <v>1107</v>
      </c>
      <c r="AM38" s="992"/>
      <c r="AN38" s="992"/>
      <c r="AO38" s="992"/>
      <c r="AP38" s="1242"/>
      <c r="AQ38" s="343"/>
      <c r="AR38" s="343"/>
      <c r="AS38" s="343"/>
      <c r="AT38" s="343"/>
      <c r="AU38" s="8">
        <f t="shared" si="13"/>
        <v>26</v>
      </c>
      <c r="AV38" s="269" t="s">
        <v>662</v>
      </c>
      <c r="AW38" s="378">
        <v>3526620</v>
      </c>
      <c r="AX38" s="378">
        <v>3526620</v>
      </c>
      <c r="AY38" s="378">
        <f t="shared" ref="AY38:AY54" si="16">+AX38-AW38</f>
        <v>0</v>
      </c>
      <c r="AZ38" s="8">
        <f t="shared" si="10"/>
        <v>26</v>
      </c>
      <c r="BA38" s="9" t="s">
        <v>1272</v>
      </c>
      <c r="BB38" s="151">
        <f>I28</f>
        <v>776099.49929999991</v>
      </c>
      <c r="BC38" s="128">
        <f t="shared" ref="BC38:BC43" si="17">+BB38*-$BC$11</f>
        <v>-16290.328490307</v>
      </c>
      <c r="BD38" s="128">
        <f t="shared" ref="BD38:BD43" si="18">ROUND(+BC38*-$BD$11,0)</f>
        <v>5702</v>
      </c>
      <c r="BE38" s="343"/>
      <c r="BF38" s="343"/>
      <c r="BG38" s="343"/>
      <c r="BH38" s="343"/>
      <c r="BI38" s="343"/>
      <c r="BJ38" s="933"/>
      <c r="BK38" s="933"/>
      <c r="BL38" s="933"/>
      <c r="BM38" s="933"/>
      <c r="BN38" s="933"/>
      <c r="BO38" s="1242"/>
      <c r="BP38" s="1242"/>
      <c r="BQ38" s="1242"/>
      <c r="BR38" s="1242"/>
      <c r="BS38" s="1242"/>
      <c r="CI38" s="1242"/>
      <c r="CJ38" s="1242"/>
      <c r="CK38" s="1242"/>
      <c r="CL38" s="1242"/>
      <c r="CM38" s="1242"/>
    </row>
    <row r="39" spans="1:91" s="1068" customFormat="1" ht="14.25" thickTop="1">
      <c r="A39" s="8">
        <f t="shared" si="1"/>
        <v>27</v>
      </c>
      <c r="B39" s="9" t="s">
        <v>23</v>
      </c>
      <c r="C39" s="155">
        <f>FIT</f>
        <v>0.35</v>
      </c>
      <c r="D39" s="164"/>
      <c r="E39" s="1100">
        <f>E38*FIT</f>
        <v>66275067.646916978</v>
      </c>
      <c r="F39" s="1242"/>
      <c r="G39" s="112"/>
      <c r="H39" s="112"/>
      <c r="I39" s="112"/>
      <c r="J39" s="34"/>
      <c r="K39" s="1242"/>
      <c r="L39" s="154"/>
      <c r="M39" s="154"/>
      <c r="N39" s="154"/>
      <c r="O39" s="15"/>
      <c r="P39" s="1242"/>
      <c r="Q39" s="1242"/>
      <c r="R39" s="1242"/>
      <c r="S39" s="1242"/>
      <c r="T39" s="1242"/>
      <c r="U39" s="1242"/>
      <c r="V39" s="1242"/>
      <c r="W39" s="1242"/>
      <c r="X39" s="1242"/>
      <c r="Y39" s="1242"/>
      <c r="Z39" s="749"/>
      <c r="AA39" s="749"/>
      <c r="AB39" s="749"/>
      <c r="AC39" s="750" t="s">
        <v>938</v>
      </c>
      <c r="AD39" s="151"/>
      <c r="AE39" s="8">
        <f t="shared" si="6"/>
        <v>27</v>
      </c>
      <c r="AF39" s="249" t="s">
        <v>1097</v>
      </c>
      <c r="AG39" s="1328">
        <f>SUM(AG34:AG38)</f>
        <v>30072248.09</v>
      </c>
      <c r="AH39" s="151"/>
      <c r="AI39" s="1242"/>
      <c r="AJ39" s="976"/>
      <c r="AK39" s="139">
        <f t="shared" si="7"/>
        <v>27</v>
      </c>
      <c r="AL39" s="992"/>
      <c r="AM39" s="992"/>
      <c r="AN39" s="992"/>
      <c r="AO39" s="992"/>
      <c r="AP39" s="1242"/>
      <c r="AQ39" s="343"/>
      <c r="AR39" s="343"/>
      <c r="AS39" s="343"/>
      <c r="AT39" s="343"/>
      <c r="AU39" s="8">
        <f t="shared" si="13"/>
        <v>27</v>
      </c>
      <c r="AV39" s="269" t="s">
        <v>679</v>
      </c>
      <c r="AW39" s="378">
        <v>1494701.982071016</v>
      </c>
      <c r="AX39" s="466">
        <v>1494701.7220710255</v>
      </c>
      <c r="AY39" s="466">
        <f t="shared" si="16"/>
        <v>-0.25999999046325684</v>
      </c>
      <c r="AZ39" s="8">
        <f t="shared" si="10"/>
        <v>27</v>
      </c>
      <c r="BA39" s="9" t="s">
        <v>368</v>
      </c>
      <c r="BB39" s="424">
        <f>I29</f>
        <v>6884867.0464579072</v>
      </c>
      <c r="BC39" s="1095">
        <f t="shared" si="17"/>
        <v>-144513.35930515148</v>
      </c>
      <c r="BD39" s="1095">
        <f t="shared" si="18"/>
        <v>50580</v>
      </c>
      <c r="BE39" s="343"/>
      <c r="BF39" s="343"/>
      <c r="BG39" s="343"/>
      <c r="BH39" s="343"/>
      <c r="BI39" s="343"/>
      <c r="BJ39" s="933"/>
      <c r="BK39" s="933"/>
      <c r="BL39" s="933"/>
      <c r="BM39" s="933"/>
      <c r="BN39" s="933"/>
      <c r="BO39" s="1242"/>
      <c r="BP39" s="1242"/>
      <c r="BQ39" s="1242"/>
      <c r="BR39" s="1242"/>
      <c r="BS39" s="1242"/>
      <c r="CI39" s="1242"/>
      <c r="CJ39" s="1242"/>
      <c r="CK39" s="1242"/>
      <c r="CL39" s="1242"/>
      <c r="CM39" s="1242"/>
    </row>
    <row r="40" spans="1:91" s="1068" customFormat="1" ht="14.25" thickBot="1">
      <c r="A40" s="8">
        <f t="shared" si="1"/>
        <v>28</v>
      </c>
      <c r="B40" s="9" t="s">
        <v>369</v>
      </c>
      <c r="C40" s="110" t="s">
        <v>939</v>
      </c>
      <c r="D40" s="234"/>
      <c r="E40" s="1345">
        <f>+E38-E39</f>
        <v>123082268.48713154</v>
      </c>
      <c r="F40" s="1242"/>
      <c r="G40" s="112"/>
      <c r="H40" s="112"/>
      <c r="I40" s="112"/>
      <c r="J40" s="34"/>
      <c r="K40" s="1242"/>
      <c r="L40" s="154"/>
      <c r="M40" s="154"/>
      <c r="N40" s="154"/>
      <c r="O40" s="15"/>
      <c r="P40" s="1242"/>
      <c r="Q40" s="1242"/>
      <c r="R40" s="1242"/>
      <c r="S40" s="1242"/>
      <c r="T40" s="1242"/>
      <c r="U40" s="1242"/>
      <c r="V40" s="1242"/>
      <c r="W40" s="1242"/>
      <c r="X40" s="1242"/>
      <c r="Y40" s="1242"/>
      <c r="Z40" s="748"/>
      <c r="AA40" s="749"/>
      <c r="AB40" s="749"/>
      <c r="AC40" s="750"/>
      <c r="AD40" s="151"/>
      <c r="AE40" s="8">
        <f t="shared" si="6"/>
        <v>28</v>
      </c>
      <c r="AF40" s="249"/>
      <c r="AG40" s="249"/>
      <c r="AH40" s="249"/>
      <c r="AI40" s="1242"/>
      <c r="AJ40" s="976"/>
      <c r="AK40" s="139">
        <f t="shared" si="7"/>
        <v>28</v>
      </c>
      <c r="AL40" s="992" t="s">
        <v>1108</v>
      </c>
      <c r="AM40" s="984"/>
      <c r="AN40" s="984"/>
      <c r="AO40" s="984"/>
      <c r="AP40" s="1242"/>
      <c r="AQ40" s="343"/>
      <c r="AR40" s="343"/>
      <c r="AS40" s="343"/>
      <c r="AT40" s="343"/>
      <c r="AU40" s="8">
        <f t="shared" si="13"/>
        <v>28</v>
      </c>
      <c r="AV40" s="269" t="s">
        <v>680</v>
      </c>
      <c r="AW40" s="378">
        <v>2076858.21</v>
      </c>
      <c r="AX40" s="378">
        <v>0</v>
      </c>
      <c r="AY40" s="378">
        <f t="shared" si="16"/>
        <v>-2076858.21</v>
      </c>
      <c r="AZ40" s="8">
        <f t="shared" si="10"/>
        <v>28</v>
      </c>
      <c r="BA40" s="9" t="s">
        <v>33</v>
      </c>
      <c r="BB40" s="151">
        <f>-'JHS-19'!E19-'JHS-19'!F19</f>
        <v>0</v>
      </c>
      <c r="BC40" s="128">
        <f t="shared" si="17"/>
        <v>0</v>
      </c>
      <c r="BD40" s="128">
        <f t="shared" si="18"/>
        <v>0</v>
      </c>
      <c r="BE40" s="343"/>
      <c r="BF40" s="343"/>
      <c r="BG40" s="343"/>
      <c r="BH40" s="343"/>
      <c r="BI40" s="343"/>
      <c r="BJ40" s="933"/>
      <c r="BK40" s="933"/>
      <c r="BL40" s="933"/>
      <c r="BM40" s="933"/>
      <c r="BN40" s="933"/>
      <c r="BO40" s="1242"/>
      <c r="BP40" s="1242"/>
      <c r="BQ40" s="1242"/>
      <c r="BR40" s="1242"/>
      <c r="BS40" s="1242"/>
      <c r="CI40" s="8"/>
      <c r="CJ40" s="137"/>
      <c r="CK40" s="137"/>
      <c r="CL40" s="137"/>
      <c r="CM40" s="137"/>
    </row>
    <row r="41" spans="1:91" s="1068" customFormat="1" ht="13.5" thickTop="1">
      <c r="A41" s="8"/>
      <c r="B41" s="1242"/>
      <c r="C41" s="1242"/>
      <c r="D41" s="1242"/>
      <c r="E41" s="109"/>
      <c r="F41" s="1242"/>
      <c r="G41" s="112"/>
      <c r="H41" s="112"/>
      <c r="I41" s="112"/>
      <c r="K41" s="1242"/>
      <c r="L41" s="154"/>
      <c r="M41" s="154"/>
      <c r="N41" s="154"/>
      <c r="O41" s="15"/>
      <c r="P41" s="1242"/>
      <c r="Q41" s="1242"/>
      <c r="R41" s="1242"/>
      <c r="S41" s="1242"/>
      <c r="T41" s="1242"/>
      <c r="U41" s="1242"/>
      <c r="V41" s="1242"/>
      <c r="W41" s="1242"/>
      <c r="X41" s="1242"/>
      <c r="Y41" s="1242"/>
      <c r="Z41" s="748"/>
      <c r="AA41" s="751"/>
      <c r="AB41" s="752"/>
      <c r="AC41" s="750" t="s">
        <v>938</v>
      </c>
      <c r="AD41" s="151"/>
      <c r="AE41" s="8">
        <f t="shared" si="6"/>
        <v>29</v>
      </c>
      <c r="AF41" s="75" t="s">
        <v>1098</v>
      </c>
      <c r="AG41" s="1242"/>
      <c r="AH41" s="128">
        <f>AG39/48*12</f>
        <v>7518062.0225000009</v>
      </c>
      <c r="AI41" s="1242"/>
      <c r="AJ41" s="1242"/>
      <c r="AK41" s="139">
        <f t="shared" si="7"/>
        <v>29</v>
      </c>
      <c r="AL41" s="993" t="s">
        <v>965</v>
      </c>
      <c r="AM41" s="992"/>
      <c r="AN41" s="992"/>
      <c r="AO41" s="992"/>
      <c r="AP41" s="34"/>
      <c r="AQ41" s="343"/>
      <c r="AR41" s="343"/>
      <c r="AS41" s="343"/>
      <c r="AT41" s="343"/>
      <c r="AU41" s="8">
        <f t="shared" si="13"/>
        <v>29</v>
      </c>
      <c r="AV41" s="269" t="s">
        <v>681</v>
      </c>
      <c r="AW41" s="378">
        <v>4162153.8237249996</v>
      </c>
      <c r="AX41" s="378">
        <v>0</v>
      </c>
      <c r="AY41" s="378">
        <f t="shared" si="16"/>
        <v>-4162153.8237249996</v>
      </c>
      <c r="AZ41" s="8">
        <f t="shared" si="10"/>
        <v>29</v>
      </c>
      <c r="BA41" s="9" t="s">
        <v>1202</v>
      </c>
      <c r="BB41" s="151">
        <f>J30</f>
        <v>10891022.50639385</v>
      </c>
      <c r="BC41" s="151">
        <f t="shared" si="17"/>
        <v>-228602.56240920693</v>
      </c>
      <c r="BD41" s="151">
        <f t="shared" si="18"/>
        <v>80011</v>
      </c>
      <c r="BE41" s="343"/>
      <c r="BF41" s="343"/>
      <c r="BG41" s="343"/>
      <c r="BH41" s="343"/>
      <c r="BI41" s="343"/>
      <c r="BJ41" s="933"/>
      <c r="BK41" s="933"/>
      <c r="BL41" s="933"/>
      <c r="BM41" s="933"/>
      <c r="BN41" s="933"/>
      <c r="BO41" s="1242"/>
      <c r="BP41" s="1242"/>
      <c r="BQ41" s="1242"/>
      <c r="BR41" s="1242"/>
      <c r="BS41" s="1242"/>
      <c r="CI41" s="8"/>
      <c r="CJ41" s="109"/>
      <c r="CK41" s="109"/>
      <c r="CL41" s="109"/>
      <c r="CM41" s="109"/>
    </row>
    <row r="42" spans="1:91" s="1068" customFormat="1">
      <c r="A42" s="269"/>
      <c r="B42" s="1242"/>
      <c r="C42" s="1242"/>
      <c r="D42" s="1242"/>
      <c r="E42" s="109"/>
      <c r="F42" s="1242"/>
      <c r="G42" s="1242"/>
      <c r="H42" s="154"/>
      <c r="I42" s="154"/>
      <c r="J42" s="34"/>
      <c r="K42" s="1242"/>
      <c r="L42" s="154"/>
      <c r="M42" s="154"/>
      <c r="N42" s="154"/>
      <c r="O42" s="15"/>
      <c r="P42" s="1242"/>
      <c r="Q42" s="1242"/>
      <c r="R42" s="1242"/>
      <c r="S42" s="1242"/>
      <c r="T42" s="1242"/>
      <c r="U42" s="1242"/>
      <c r="V42" s="1242"/>
      <c r="W42" s="1242"/>
      <c r="X42" s="1242"/>
      <c r="Y42" s="1242"/>
      <c r="Z42" s="748"/>
      <c r="AA42" s="748"/>
      <c r="AB42" s="748"/>
      <c r="AC42" s="750" t="s">
        <v>938</v>
      </c>
      <c r="AD42" s="151"/>
      <c r="AE42" s="8">
        <f t="shared" si="6"/>
        <v>30</v>
      </c>
      <c r="AF42" s="1242"/>
      <c r="AG42" s="1242"/>
      <c r="AH42" s="1242"/>
      <c r="AI42" s="1242"/>
      <c r="AJ42" s="1242"/>
      <c r="AK42" s="139">
        <f t="shared" si="7"/>
        <v>30</v>
      </c>
      <c r="AL42" s="1242"/>
      <c r="AM42" s="1242"/>
      <c r="AN42" s="1242"/>
      <c r="AO42" s="1242"/>
      <c r="AP42" s="34"/>
      <c r="AR42" s="475"/>
      <c r="AS42" s="475"/>
      <c r="AT42" s="475"/>
      <c r="AU42" s="8">
        <f t="shared" si="13"/>
        <v>30</v>
      </c>
      <c r="AV42" s="269" t="s">
        <v>682</v>
      </c>
      <c r="AW42" s="378">
        <v>-1209583.3333333333</v>
      </c>
      <c r="AX42" s="378">
        <v>0</v>
      </c>
      <c r="AY42" s="378">
        <f t="shared" si="16"/>
        <v>1209583.3333333333</v>
      </c>
      <c r="AZ42" s="8">
        <f t="shared" si="10"/>
        <v>30</v>
      </c>
      <c r="BA42" s="9" t="s">
        <v>381</v>
      </c>
      <c r="BB42" s="151">
        <f>I31</f>
        <v>521840.79016554449</v>
      </c>
      <c r="BC42" s="151">
        <f t="shared" si="17"/>
        <v>-10953.43818557478</v>
      </c>
      <c r="BD42" s="151">
        <f t="shared" si="18"/>
        <v>3834</v>
      </c>
      <c r="BE42" s="475"/>
      <c r="BF42" s="475"/>
      <c r="BG42" s="475"/>
      <c r="BH42" s="475"/>
      <c r="BI42" s="475"/>
      <c r="BJ42" s="933"/>
      <c r="BK42" s="933"/>
      <c r="BL42" s="933"/>
      <c r="BM42" s="933"/>
      <c r="BN42" s="933"/>
      <c r="BO42" s="1242"/>
      <c r="BP42" s="1242"/>
      <c r="BQ42" s="1242"/>
      <c r="BR42" s="1242"/>
      <c r="BS42" s="1242"/>
      <c r="CI42" s="1242"/>
      <c r="CJ42" s="109"/>
      <c r="CK42" s="109"/>
      <c r="CL42" s="109"/>
      <c r="CM42" s="109"/>
    </row>
    <row r="43" spans="1:91" s="1068" customFormat="1" ht="13.5">
      <c r="A43" s="8"/>
      <c r="B43" s="9"/>
      <c r="C43" s="1242"/>
      <c r="D43" s="1242"/>
      <c r="E43" s="109"/>
      <c r="F43" s="8"/>
      <c r="G43" s="1242"/>
      <c r="H43" s="154"/>
      <c r="I43" s="154"/>
      <c r="J43" s="1242"/>
      <c r="K43" s="1242"/>
      <c r="L43" s="154"/>
      <c r="M43" s="154"/>
      <c r="N43" s="154"/>
      <c r="O43" s="15"/>
      <c r="P43" s="1242"/>
      <c r="Q43" s="1242"/>
      <c r="R43" s="1242"/>
      <c r="S43" s="1242"/>
      <c r="T43" s="1242"/>
      <c r="U43" s="1242"/>
      <c r="V43" s="1242"/>
      <c r="W43" s="1242"/>
      <c r="X43" s="1242"/>
      <c r="Y43" s="1242"/>
      <c r="Z43" s="748"/>
      <c r="AA43" s="751"/>
      <c r="AB43" s="752"/>
      <c r="AC43" s="750" t="s">
        <v>938</v>
      </c>
      <c r="AD43" s="128"/>
      <c r="AE43" s="8">
        <f t="shared" si="6"/>
        <v>31</v>
      </c>
      <c r="AF43" s="1242"/>
      <c r="AG43" s="151"/>
      <c r="AH43" s="1242"/>
      <c r="AI43" s="1242"/>
      <c r="AJ43" s="1242"/>
      <c r="AK43" s="139">
        <f t="shared" si="7"/>
        <v>31</v>
      </c>
      <c r="AL43" s="994" t="s">
        <v>664</v>
      </c>
      <c r="AM43" s="995"/>
      <c r="AN43" s="995"/>
      <c r="AO43" s="992"/>
      <c r="AP43" s="34"/>
      <c r="AQ43" s="1242"/>
      <c r="AR43" s="1242"/>
      <c r="AS43" s="1242"/>
      <c r="AT43" s="1242"/>
      <c r="AU43" s="8">
        <f t="shared" si="13"/>
        <v>31</v>
      </c>
      <c r="AV43" s="269" t="s">
        <v>683</v>
      </c>
      <c r="AW43" s="378">
        <v>-457531.30444444448</v>
      </c>
      <c r="AX43" s="378">
        <v>-392169.66666666669</v>
      </c>
      <c r="AY43" s="378">
        <f t="shared" si="16"/>
        <v>65361.637777777796</v>
      </c>
      <c r="AZ43" s="8">
        <f t="shared" si="10"/>
        <v>31</v>
      </c>
      <c r="BA43" s="9" t="s">
        <v>694</v>
      </c>
      <c r="BB43" s="1118">
        <f>I32</f>
        <v>1932987</v>
      </c>
      <c r="BC43" s="1118">
        <f t="shared" si="17"/>
        <v>-40573.397130000005</v>
      </c>
      <c r="BD43" s="1118">
        <f t="shared" si="18"/>
        <v>14201</v>
      </c>
      <c r="BE43" s="1242"/>
      <c r="BF43" s="1242"/>
      <c r="BG43" s="1242"/>
      <c r="BH43" s="1242"/>
      <c r="BI43" s="1242"/>
      <c r="BJ43" s="933"/>
      <c r="BK43" s="933"/>
      <c r="BL43" s="933"/>
      <c r="BM43" s="933"/>
      <c r="BN43" s="933"/>
      <c r="BO43" s="1242"/>
      <c r="BP43" s="1242"/>
      <c r="BQ43" s="1242"/>
      <c r="BR43" s="1242"/>
      <c r="BS43" s="1242"/>
      <c r="CI43" s="1242"/>
      <c r="CJ43" s="109"/>
      <c r="CK43" s="109"/>
      <c r="CL43" s="109"/>
      <c r="CM43" s="109"/>
    </row>
    <row r="44" spans="1:91" s="1068" customFormat="1" ht="13.5">
      <c r="A44" s="8"/>
      <c r="B44" s="1242"/>
      <c r="C44" s="128"/>
      <c r="D44" s="1242"/>
      <c r="E44" s="128"/>
      <c r="F44" s="8"/>
      <c r="G44" s="1242"/>
      <c r="H44" s="154"/>
      <c r="I44" s="154"/>
      <c r="J44" s="1242"/>
      <c r="K44" s="1242"/>
      <c r="L44" s="154"/>
      <c r="M44" s="154"/>
      <c r="N44" s="154"/>
      <c r="O44" s="36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753"/>
      <c r="AA44" s="751"/>
      <c r="AB44" s="752"/>
      <c r="AC44" s="754"/>
      <c r="AD44" s="128"/>
      <c r="AE44" s="8">
        <f t="shared" si="6"/>
        <v>32</v>
      </c>
      <c r="AF44" s="249" t="s">
        <v>154</v>
      </c>
      <c r="AG44" s="151"/>
      <c r="AH44" s="1242"/>
      <c r="AI44" s="1242"/>
      <c r="AJ44" s="1242"/>
      <c r="AP44" s="34"/>
      <c r="AQ44" s="1242"/>
      <c r="AR44" s="1242"/>
      <c r="AS44" s="1242"/>
      <c r="AT44" s="1242"/>
      <c r="AU44" s="8">
        <f t="shared" si="13"/>
        <v>32</v>
      </c>
      <c r="AV44" s="269" t="s">
        <v>684</v>
      </c>
      <c r="AW44" s="378">
        <v>-403219.66019417474</v>
      </c>
      <c r="AX44" s="378">
        <v>-537626.2135922329</v>
      </c>
      <c r="AY44" s="378">
        <f t="shared" si="16"/>
        <v>-134406.55339805817</v>
      </c>
      <c r="AZ44" s="8">
        <f t="shared" si="10"/>
        <v>32</v>
      </c>
      <c r="BA44" s="9" t="s">
        <v>287</v>
      </c>
      <c r="BB44" s="1357">
        <f>SUM(BB37:BB43)</f>
        <v>21006816.842317302</v>
      </c>
      <c r="BC44" s="1357">
        <f>SUM(BC37:BC43)</f>
        <v>-440933.08552024019</v>
      </c>
      <c r="BD44" s="1357">
        <f>SUM(BD37:BD43)</f>
        <v>154328</v>
      </c>
      <c r="BE44" s="1242"/>
      <c r="BF44" s="1242"/>
      <c r="BG44" s="1242"/>
      <c r="BH44" s="1242"/>
      <c r="BI44" s="1242"/>
      <c r="BJ44" s="933"/>
      <c r="BK44" s="933"/>
      <c r="BL44" s="933"/>
      <c r="BM44" s="933"/>
      <c r="BN44" s="933"/>
      <c r="BO44" s="1242"/>
      <c r="BP44" s="1242"/>
      <c r="BQ44" s="1242"/>
      <c r="BR44" s="1242"/>
      <c r="BS44" s="1242"/>
      <c r="CI44" s="1242"/>
      <c r="CJ44" s="109"/>
      <c r="CK44" s="109"/>
      <c r="CL44" s="109"/>
      <c r="CM44" s="109"/>
    </row>
    <row r="45" spans="1:91" s="1068" customFormat="1">
      <c r="A45" s="8"/>
      <c r="B45" s="1242"/>
      <c r="C45" s="1242"/>
      <c r="D45" s="1242"/>
      <c r="E45" s="129"/>
      <c r="F45" s="1242"/>
      <c r="G45" s="1242"/>
      <c r="H45" s="1242"/>
      <c r="I45" s="1242"/>
      <c r="J45" s="1242"/>
      <c r="K45" s="1242"/>
      <c r="L45" s="154"/>
      <c r="M45" s="154"/>
      <c r="N45" s="154"/>
      <c r="O45" s="15"/>
      <c r="P45" s="1242"/>
      <c r="Q45" s="1242"/>
      <c r="R45" s="1242"/>
      <c r="S45" s="1242"/>
      <c r="T45" s="1242"/>
      <c r="U45" s="1242"/>
      <c r="V45" s="1242"/>
      <c r="W45" s="1242"/>
      <c r="X45" s="1242"/>
      <c r="Y45" s="1242"/>
      <c r="Z45" s="748"/>
      <c r="AA45" s="748"/>
      <c r="AB45" s="753"/>
      <c r="AC45" s="750" t="s">
        <v>938</v>
      </c>
      <c r="AD45" s="128"/>
      <c r="AE45" s="8">
        <f t="shared" si="6"/>
        <v>33</v>
      </c>
      <c r="AF45" s="1242" t="s">
        <v>502</v>
      </c>
      <c r="AG45" s="151"/>
      <c r="AH45" s="1242"/>
      <c r="AI45" s="1242"/>
      <c r="AJ45" s="1242"/>
      <c r="AP45" s="1242"/>
      <c r="AQ45" s="1242"/>
      <c r="AR45" s="1242"/>
      <c r="AS45" s="1242"/>
      <c r="AT45" s="1242"/>
      <c r="AU45" s="8">
        <f t="shared" si="13"/>
        <v>33</v>
      </c>
      <c r="AV45" s="269" t="s">
        <v>1113</v>
      </c>
      <c r="AW45" s="378">
        <v>2159053</v>
      </c>
      <c r="AX45" s="378">
        <v>2872181.8354855985</v>
      </c>
      <c r="AY45" s="378">
        <f t="shared" si="16"/>
        <v>713128.83548559854</v>
      </c>
      <c r="AZ45" s="8">
        <f t="shared" si="10"/>
        <v>33</v>
      </c>
      <c r="BA45" s="9"/>
      <c r="BB45" s="151"/>
      <c r="BC45" s="151"/>
      <c r="BD45" s="151"/>
      <c r="BE45" s="1242"/>
      <c r="BF45" s="1242"/>
      <c r="BG45" s="1242"/>
      <c r="BH45" s="1242"/>
      <c r="BI45" s="1242"/>
      <c r="BJ45" s="933"/>
      <c r="BK45" s="933"/>
      <c r="BL45" s="933"/>
      <c r="BM45" s="933"/>
      <c r="BN45" s="933"/>
      <c r="BO45" s="1242"/>
      <c r="BP45" s="1242"/>
      <c r="BQ45" s="1242"/>
      <c r="BR45" s="1242"/>
      <c r="BS45" s="1242"/>
      <c r="CI45" s="34"/>
      <c r="CJ45" s="109"/>
      <c r="CK45" s="109"/>
      <c r="CL45" s="109"/>
      <c r="CM45" s="109"/>
    </row>
    <row r="46" spans="1:91" s="1068" customFormat="1">
      <c r="A46" s="34"/>
      <c r="C46" s="129"/>
      <c r="D46" s="1242"/>
      <c r="E46" s="1242"/>
      <c r="F46" s="1242"/>
      <c r="G46" s="1242"/>
      <c r="H46" s="1242"/>
      <c r="I46" s="1242"/>
      <c r="J46" s="91"/>
      <c r="K46" s="1242"/>
      <c r="L46" s="1242"/>
      <c r="M46" s="1242"/>
      <c r="N46" s="1242"/>
      <c r="O46" s="1242"/>
      <c r="P46" s="1242"/>
      <c r="Q46" s="1242"/>
      <c r="R46" s="1242"/>
      <c r="S46" s="1242"/>
      <c r="T46" s="1242"/>
      <c r="U46" s="1242"/>
      <c r="V46" s="1242"/>
      <c r="W46" s="1242"/>
      <c r="X46" s="1242"/>
      <c r="Y46" s="1242"/>
      <c r="Z46" s="748"/>
      <c r="AA46" s="748"/>
      <c r="AB46" s="753"/>
      <c r="AC46" s="750"/>
      <c r="AD46" s="128"/>
      <c r="AE46" s="8">
        <f t="shared" ref="AE46:AE60" si="19">AE45+1</f>
        <v>34</v>
      </c>
      <c r="AF46" s="46" t="s">
        <v>233</v>
      </c>
      <c r="AG46" s="147">
        <v>51735725</v>
      </c>
      <c r="AH46" s="151"/>
      <c r="AI46" s="1242"/>
      <c r="AJ46" s="976"/>
      <c r="AK46" s="735"/>
      <c r="AL46" s="735"/>
      <c r="AM46" s="735"/>
      <c r="AN46" s="735"/>
      <c r="AO46" s="735"/>
      <c r="AP46" s="1242"/>
      <c r="AQ46" s="1242"/>
      <c r="AR46" s="1242"/>
      <c r="AS46" s="1242"/>
      <c r="AT46" s="1242"/>
      <c r="AU46" s="8">
        <f t="shared" si="13"/>
        <v>34</v>
      </c>
      <c r="AV46" s="269" t="s">
        <v>1114</v>
      </c>
      <c r="AW46" s="378">
        <v>2102005.9083755841</v>
      </c>
      <c r="AX46" s="378">
        <v>0</v>
      </c>
      <c r="AY46" s="378">
        <f t="shared" si="16"/>
        <v>-2102005.9083755841</v>
      </c>
      <c r="AZ46" s="8">
        <f t="shared" si="10"/>
        <v>34</v>
      </c>
      <c r="BA46" s="127" t="s">
        <v>1121</v>
      </c>
      <c r="BB46" s="151"/>
      <c r="BC46" s="151"/>
      <c r="BD46" s="151"/>
      <c r="BE46" s="1242"/>
      <c r="BF46" s="1242"/>
      <c r="BG46" s="1242"/>
      <c r="BH46" s="1242"/>
      <c r="BI46" s="1242"/>
      <c r="BJ46" s="933"/>
      <c r="BK46" s="933"/>
      <c r="BL46" s="933"/>
      <c r="BM46" s="933"/>
      <c r="BN46" s="933"/>
      <c r="BO46" s="1242"/>
      <c r="BP46" s="1242"/>
      <c r="BQ46" s="1242"/>
      <c r="BR46" s="1242"/>
      <c r="BS46" s="1242"/>
      <c r="CI46" s="34"/>
      <c r="CJ46" s="109"/>
      <c r="CK46" s="109"/>
      <c r="CL46" s="109"/>
      <c r="CM46" s="109"/>
    </row>
    <row r="47" spans="1:91" s="1068" customFormat="1" ht="13.5" customHeight="1">
      <c r="A47" s="34"/>
      <c r="B47" s="58"/>
      <c r="C47" s="128"/>
      <c r="D47" s="1242"/>
      <c r="E47" s="128"/>
      <c r="F47" s="1242"/>
      <c r="G47" s="1242"/>
      <c r="H47" s="1242"/>
      <c r="I47" s="1242"/>
      <c r="J47" s="91"/>
      <c r="K47" s="1242"/>
      <c r="L47" s="1242"/>
      <c r="M47" s="1242"/>
      <c r="N47" s="1242"/>
      <c r="O47" s="1242"/>
      <c r="P47" s="1242"/>
      <c r="Q47" s="1242"/>
      <c r="R47" s="1242"/>
      <c r="S47" s="1242"/>
      <c r="T47" s="1242"/>
      <c r="U47" s="1242"/>
      <c r="V47" s="1242"/>
      <c r="W47" s="1242"/>
      <c r="X47" s="1242"/>
      <c r="Y47" s="1242"/>
      <c r="Z47" s="754"/>
      <c r="AA47" s="750" t="s">
        <v>938</v>
      </c>
      <c r="AB47" s="754"/>
      <c r="AC47" s="750"/>
      <c r="AD47" s="128"/>
      <c r="AE47" s="8">
        <f t="shared" si="19"/>
        <v>35</v>
      </c>
      <c r="AF47" s="249" t="s">
        <v>762</v>
      </c>
      <c r="AG47" s="1328">
        <f>SUM(AG46)</f>
        <v>51735725</v>
      </c>
      <c r="AH47" s="977"/>
      <c r="AI47" s="149"/>
      <c r="AJ47" s="1242"/>
      <c r="AK47" s="734"/>
      <c r="AL47" s="734"/>
      <c r="AM47" s="734"/>
      <c r="AN47" s="734"/>
      <c r="AO47" s="734"/>
      <c r="AP47" s="1242"/>
      <c r="AQ47" s="1242"/>
      <c r="AR47" s="1242"/>
      <c r="AS47" s="1242"/>
      <c r="AT47" s="1242"/>
      <c r="AU47" s="8">
        <f t="shared" si="13"/>
        <v>35</v>
      </c>
      <c r="AV47" s="269" t="s">
        <v>1115</v>
      </c>
      <c r="AW47" s="378">
        <v>0</v>
      </c>
      <c r="AX47" s="1342">
        <v>500000.00000000006</v>
      </c>
      <c r="AY47" s="1342">
        <f t="shared" si="16"/>
        <v>500000.00000000006</v>
      </c>
      <c r="AZ47" s="8">
        <f t="shared" si="10"/>
        <v>35</v>
      </c>
      <c r="BA47" s="269" t="s">
        <v>662</v>
      </c>
      <c r="BB47" s="351">
        <f>AX38</f>
        <v>3526620</v>
      </c>
      <c r="BC47" s="128">
        <f t="shared" ref="BC47:BC63" si="20">+BB47*-$BC$11</f>
        <v>-74023.753800000006</v>
      </c>
      <c r="BD47" s="128">
        <f t="shared" ref="BD47:BD60" si="21">ROUND(BC47*-FIT,0)</f>
        <v>25908</v>
      </c>
      <c r="BE47" s="1242"/>
      <c r="BF47" s="1242"/>
      <c r="BG47" s="1242"/>
      <c r="BH47" s="1242"/>
      <c r="BI47" s="1242"/>
      <c r="BJ47" s="933"/>
      <c r="BK47" s="933"/>
      <c r="BL47" s="933"/>
      <c r="BM47" s="933"/>
      <c r="BN47" s="933"/>
      <c r="BO47" s="1242"/>
      <c r="BP47" s="1242"/>
      <c r="BQ47" s="1242"/>
      <c r="BR47" s="1242"/>
      <c r="BS47" s="1242"/>
      <c r="CI47" s="34"/>
      <c r="CJ47" s="109"/>
      <c r="CK47" s="109"/>
      <c r="CL47" s="109"/>
      <c r="CM47" s="109"/>
    </row>
    <row r="48" spans="1:91" s="1068" customFormat="1">
      <c r="A48" s="34"/>
      <c r="B48" s="58"/>
      <c r="C48" s="128"/>
      <c r="D48" s="1242"/>
      <c r="E48" s="1242"/>
      <c r="F48" s="34"/>
      <c r="G48" s="1242"/>
      <c r="H48" s="1242"/>
      <c r="I48" s="1242"/>
      <c r="J48" s="91"/>
      <c r="K48" s="1242"/>
      <c r="L48" s="1242"/>
      <c r="M48" s="1242"/>
      <c r="N48" s="1242"/>
      <c r="O48" s="1242"/>
      <c r="P48" s="1242"/>
      <c r="Q48" s="1242"/>
      <c r="R48" s="1242"/>
      <c r="S48" s="1242"/>
      <c r="T48" s="1242"/>
      <c r="U48" s="1242"/>
      <c r="V48" s="1242"/>
      <c r="W48" s="1242"/>
      <c r="X48" s="1242"/>
      <c r="Y48" s="1242"/>
      <c r="Z48" s="754"/>
      <c r="AA48" s="750" t="s">
        <v>938</v>
      </c>
      <c r="AB48" s="754"/>
      <c r="AC48" s="750"/>
      <c r="AD48" s="128"/>
      <c r="AE48" s="8">
        <f t="shared" si="19"/>
        <v>36</v>
      </c>
      <c r="AF48" s="249" t="s">
        <v>1102</v>
      </c>
      <c r="AG48" s="249"/>
      <c r="AH48" s="109"/>
      <c r="AI48" s="151"/>
      <c r="AJ48" s="1242"/>
      <c r="AK48" s="734"/>
      <c r="AL48" s="734"/>
      <c r="AM48" s="734"/>
      <c r="AN48" s="734"/>
      <c r="AO48" s="734"/>
      <c r="AP48" s="91"/>
      <c r="AQ48" s="1242"/>
      <c r="AR48" s="1242"/>
      <c r="AS48" s="1242"/>
      <c r="AT48" s="1242"/>
      <c r="AU48" s="8">
        <f t="shared" si="13"/>
        <v>36</v>
      </c>
      <c r="AV48" s="269" t="s">
        <v>266</v>
      </c>
      <c r="AW48" s="378">
        <v>0</v>
      </c>
      <c r="AX48" s="378">
        <v>265155</v>
      </c>
      <c r="AY48" s="378">
        <f t="shared" si="16"/>
        <v>265155</v>
      </c>
      <c r="AZ48" s="8">
        <f t="shared" si="10"/>
        <v>36</v>
      </c>
      <c r="BA48" s="269" t="s">
        <v>679</v>
      </c>
      <c r="BB48" s="351">
        <f>AX39</f>
        <v>1494701.7220710255</v>
      </c>
      <c r="BC48" s="128">
        <f t="shared" si="20"/>
        <v>-31373.789146270828</v>
      </c>
      <c r="BD48" s="128">
        <f t="shared" si="21"/>
        <v>10981</v>
      </c>
      <c r="BE48" s="1242"/>
      <c r="BF48" s="1242"/>
      <c r="BG48" s="1242"/>
      <c r="BH48" s="1242"/>
      <c r="BI48" s="1242"/>
      <c r="BJ48" s="933"/>
      <c r="BK48" s="933"/>
      <c r="BL48" s="933"/>
      <c r="BM48" s="933"/>
      <c r="BN48" s="933"/>
      <c r="BO48" s="1242"/>
      <c r="BP48" s="1242"/>
      <c r="BQ48" s="1242"/>
      <c r="BR48" s="1242"/>
      <c r="BS48" s="1242"/>
      <c r="CI48" s="34"/>
      <c r="CJ48" s="109"/>
      <c r="CK48" s="109"/>
      <c r="CL48" s="109"/>
      <c r="CM48" s="109"/>
    </row>
    <row r="49" spans="1:91" s="1068" customFormat="1">
      <c r="A49" s="34"/>
      <c r="B49" s="58"/>
      <c r="C49" s="128"/>
      <c r="D49" s="1242"/>
      <c r="E49" s="1242"/>
      <c r="F49" s="34"/>
      <c r="G49" s="1242"/>
      <c r="H49" s="1242"/>
      <c r="I49" s="1242"/>
      <c r="J49" s="1242"/>
      <c r="K49" s="1242"/>
      <c r="L49" s="1242"/>
      <c r="M49" s="1242"/>
      <c r="N49" s="1242"/>
      <c r="O49" s="1242"/>
      <c r="P49" s="1242"/>
      <c r="Q49" s="1242"/>
      <c r="R49" s="1242"/>
      <c r="S49" s="1242"/>
      <c r="T49" s="1242"/>
      <c r="U49" s="1242"/>
      <c r="V49" s="1242"/>
      <c r="W49" s="1242"/>
      <c r="X49" s="1242"/>
      <c r="Y49" s="1242"/>
      <c r="Z49" s="750" t="s">
        <v>938</v>
      </c>
      <c r="AA49" s="750" t="s">
        <v>938</v>
      </c>
      <c r="AB49" s="750" t="s">
        <v>938</v>
      </c>
      <c r="AC49" s="750" t="s">
        <v>938</v>
      </c>
      <c r="AD49" s="128"/>
      <c r="AE49" s="8">
        <f t="shared" si="19"/>
        <v>37</v>
      </c>
      <c r="AF49" s="421" t="s">
        <v>1103</v>
      </c>
      <c r="AG49" s="249"/>
      <c r="AH49" s="109"/>
      <c r="AI49" s="151"/>
      <c r="AJ49" s="1242"/>
      <c r="AK49" s="734"/>
      <c r="AL49" s="734"/>
      <c r="AM49" s="734"/>
      <c r="AN49" s="734"/>
      <c r="AO49" s="734"/>
      <c r="AP49" s="91"/>
      <c r="AQ49" s="1242"/>
      <c r="AR49" s="1242"/>
      <c r="AS49" s="1242"/>
      <c r="AT49" s="1242"/>
      <c r="AU49" s="8">
        <f t="shared" si="13"/>
        <v>37</v>
      </c>
      <c r="AV49" s="269" t="s">
        <v>1116</v>
      </c>
      <c r="AW49" s="378"/>
      <c r="AX49" s="378"/>
      <c r="AY49" s="378"/>
      <c r="AZ49" s="8">
        <f t="shared" si="10"/>
        <v>37</v>
      </c>
      <c r="BA49" s="269" t="s">
        <v>545</v>
      </c>
      <c r="BB49" s="351"/>
      <c r="BC49" s="128">
        <f t="shared" si="20"/>
        <v>0</v>
      </c>
      <c r="BD49" s="128">
        <f t="shared" si="21"/>
        <v>0</v>
      </c>
      <c r="BE49" s="1242"/>
      <c r="BF49" s="1242"/>
      <c r="BG49" s="1242"/>
      <c r="BH49" s="1242"/>
      <c r="BI49" s="1242"/>
      <c r="BJ49" s="933"/>
      <c r="BK49" s="933"/>
      <c r="BL49" s="933"/>
      <c r="BM49" s="933"/>
      <c r="BN49" s="933"/>
      <c r="BO49" s="1242"/>
      <c r="BP49" s="1242"/>
      <c r="BQ49" s="1242"/>
      <c r="BR49" s="1242"/>
      <c r="BS49" s="1242"/>
      <c r="CI49" s="1242"/>
      <c r="CJ49" s="109"/>
      <c r="CK49" s="109"/>
      <c r="CL49" s="109"/>
      <c r="CM49" s="109"/>
    </row>
    <row r="50" spans="1:91" s="1068" customFormat="1" ht="13.5">
      <c r="A50" s="1242"/>
      <c r="B50" s="9"/>
      <c r="C50" s="128"/>
      <c r="D50" s="1242"/>
      <c r="E50" s="1242"/>
      <c r="F50" s="34"/>
      <c r="G50" s="1242"/>
      <c r="H50" s="1242"/>
      <c r="I50" s="1242"/>
      <c r="J50" s="1242"/>
      <c r="K50" s="1242"/>
      <c r="L50" s="1242"/>
      <c r="M50" s="1242"/>
      <c r="N50" s="1242"/>
      <c r="O50" s="1242"/>
      <c r="P50" s="1242"/>
      <c r="Q50" s="1242"/>
      <c r="R50" s="1242"/>
      <c r="S50" s="1242"/>
      <c r="T50" s="1242"/>
      <c r="U50" s="1242"/>
      <c r="V50" s="1242"/>
      <c r="W50" s="1242"/>
      <c r="X50" s="1242"/>
      <c r="Y50" s="1242"/>
      <c r="Z50" s="750" t="s">
        <v>938</v>
      </c>
      <c r="AA50" s="750" t="s">
        <v>938</v>
      </c>
      <c r="AB50" s="750" t="s">
        <v>938</v>
      </c>
      <c r="AC50" s="750" t="s">
        <v>938</v>
      </c>
      <c r="AD50" s="128"/>
      <c r="AE50" s="8">
        <f t="shared" si="19"/>
        <v>38</v>
      </c>
      <c r="AF50" s="1242" t="s">
        <v>1099</v>
      </c>
      <c r="AG50" s="547"/>
      <c r="AH50" s="147">
        <f>AG47/78*12</f>
        <v>7959342.307692308</v>
      </c>
      <c r="AI50" s="249"/>
      <c r="AJ50" s="1242"/>
      <c r="AK50" s="734"/>
      <c r="AL50" s="734"/>
      <c r="AM50" s="734"/>
      <c r="AN50" s="734"/>
      <c r="AO50" s="734"/>
      <c r="AP50" s="91"/>
      <c r="AQ50" s="112"/>
      <c r="AR50" s="112"/>
      <c r="AS50" s="112"/>
      <c r="AT50" s="112"/>
      <c r="AU50" s="8">
        <f t="shared" si="13"/>
        <v>38</v>
      </c>
      <c r="AV50" s="269" t="s">
        <v>796</v>
      </c>
      <c r="AW50" s="378">
        <v>61034.343478260867</v>
      </c>
      <c r="AX50" s="1342">
        <v>152585.85869565216</v>
      </c>
      <c r="AY50" s="1342">
        <f t="shared" si="16"/>
        <v>91551.515217391294</v>
      </c>
      <c r="AZ50" s="8">
        <f t="shared" si="10"/>
        <v>38</v>
      </c>
      <c r="BA50" s="269" t="s">
        <v>680</v>
      </c>
      <c r="BB50" s="351">
        <f>AX42</f>
        <v>0</v>
      </c>
      <c r="BC50" s="128">
        <f t="shared" si="20"/>
        <v>0</v>
      </c>
      <c r="BD50" s="128">
        <f t="shared" si="21"/>
        <v>0</v>
      </c>
      <c r="BE50" s="112"/>
      <c r="BF50" s="112"/>
      <c r="BG50" s="112"/>
      <c r="BH50" s="112"/>
      <c r="BI50" s="112"/>
      <c r="BJ50" s="933"/>
      <c r="BK50" s="933"/>
      <c r="BL50" s="933"/>
      <c r="BM50" s="933"/>
      <c r="BN50" s="933"/>
      <c r="BO50" s="1242"/>
      <c r="BP50" s="1242"/>
      <c r="BQ50" s="1242"/>
      <c r="BR50" s="1242"/>
      <c r="BS50" s="1242"/>
      <c r="CI50" s="1242"/>
      <c r="CJ50" s="109"/>
      <c r="CK50" s="109"/>
      <c r="CL50" s="109"/>
      <c r="CM50" s="109"/>
    </row>
    <row r="51" spans="1:91" s="1068" customFormat="1" ht="13.5">
      <c r="A51" s="1242"/>
      <c r="B51" s="9"/>
      <c r="C51" s="1242"/>
      <c r="D51" s="1242"/>
      <c r="E51" s="109"/>
      <c r="F51" s="34"/>
      <c r="G51" s="1242"/>
      <c r="H51" s="1242"/>
      <c r="I51" s="1242"/>
      <c r="J51" s="1242"/>
      <c r="K51" s="1242"/>
      <c r="L51" s="1242"/>
      <c r="M51" s="1242"/>
      <c r="N51" s="1242"/>
      <c r="O51" s="1242"/>
      <c r="P51" s="1242"/>
      <c r="Q51" s="1242"/>
      <c r="R51" s="1242"/>
      <c r="S51" s="1242"/>
      <c r="T51" s="1242"/>
      <c r="U51" s="1242"/>
      <c r="V51" s="1242"/>
      <c r="W51" s="1242"/>
      <c r="X51" s="1242"/>
      <c r="Y51" s="1242"/>
      <c r="Z51" s="750" t="s">
        <v>938</v>
      </c>
      <c r="AA51" s="750" t="s">
        <v>938</v>
      </c>
      <c r="AB51" s="750" t="s">
        <v>938</v>
      </c>
      <c r="AC51" s="750" t="s">
        <v>938</v>
      </c>
      <c r="AD51" s="128"/>
      <c r="AE51" s="8">
        <f t="shared" si="19"/>
        <v>39</v>
      </c>
      <c r="AF51" s="46" t="s">
        <v>1100</v>
      </c>
      <c r="AG51" s="151"/>
      <c r="AH51" s="151"/>
      <c r="AI51" s="128">
        <f>AH41+AH50</f>
        <v>15477404.330192309</v>
      </c>
      <c r="AJ51" s="151"/>
      <c r="AK51" s="734"/>
      <c r="AL51" s="734"/>
      <c r="AM51" s="734"/>
      <c r="AN51" s="734"/>
      <c r="AO51" s="734"/>
      <c r="AP51" s="1242"/>
      <c r="AQ51" s="112"/>
      <c r="AR51" s="112"/>
      <c r="AS51" s="112"/>
      <c r="AT51" s="112"/>
      <c r="AU51" s="8">
        <f t="shared" si="13"/>
        <v>39</v>
      </c>
      <c r="AV51" s="269" t="s">
        <v>797</v>
      </c>
      <c r="AW51" s="378">
        <v>223889.4912903225</v>
      </c>
      <c r="AX51" s="1133">
        <v>0</v>
      </c>
      <c r="AY51" s="1342">
        <f t="shared" si="16"/>
        <v>-223889.4912903225</v>
      </c>
      <c r="AZ51" s="8">
        <f t="shared" si="10"/>
        <v>39</v>
      </c>
      <c r="BA51" s="269" t="s">
        <v>681</v>
      </c>
      <c r="BB51" s="351">
        <f t="shared" ref="BB51:BB58" si="22">AX41</f>
        <v>0</v>
      </c>
      <c r="BC51" s="128">
        <f t="shared" si="20"/>
        <v>0</v>
      </c>
      <c r="BD51" s="128">
        <f t="shared" si="21"/>
        <v>0</v>
      </c>
      <c r="BE51" s="112"/>
      <c r="BF51" s="112"/>
      <c r="BG51" s="112"/>
      <c r="BH51" s="112"/>
      <c r="BI51" s="112"/>
      <c r="BJ51" s="933"/>
      <c r="BK51" s="933"/>
      <c r="BL51" s="933"/>
      <c r="BM51" s="933"/>
      <c r="BN51" s="933"/>
      <c r="BO51" s="1242"/>
      <c r="BP51" s="1242"/>
      <c r="BQ51" s="1242"/>
      <c r="BR51" s="1242"/>
      <c r="BS51" s="1242"/>
      <c r="CI51" s="1242"/>
      <c r="CJ51" s="109"/>
      <c r="CK51" s="109"/>
      <c r="CL51" s="109"/>
      <c r="CM51" s="109"/>
    </row>
    <row r="52" spans="1:91" s="1068" customFormat="1" ht="13.5">
      <c r="A52" s="1242"/>
      <c r="B52" s="1242"/>
      <c r="C52" s="1242"/>
      <c r="D52" s="1242"/>
      <c r="E52" s="58"/>
      <c r="F52" s="1242"/>
      <c r="G52" s="1242"/>
      <c r="H52" s="1242"/>
      <c r="I52" s="1242"/>
      <c r="J52" s="1242"/>
      <c r="K52" s="1242"/>
      <c r="L52" s="1242"/>
      <c r="M52" s="1242"/>
      <c r="N52" s="1242"/>
      <c r="O52" s="1242"/>
      <c r="P52" s="1242"/>
      <c r="Q52" s="1242"/>
      <c r="R52" s="1242"/>
      <c r="S52" s="1242"/>
      <c r="T52" s="1242"/>
      <c r="U52" s="1242"/>
      <c r="V52" s="1242"/>
      <c r="W52" s="1242"/>
      <c r="X52" s="1242"/>
      <c r="Y52" s="1242"/>
      <c r="Z52" s="750" t="s">
        <v>938</v>
      </c>
      <c r="AA52" s="755"/>
      <c r="AB52" s="750"/>
      <c r="AC52" s="750" t="s">
        <v>938</v>
      </c>
      <c r="AD52" s="128"/>
      <c r="AE52" s="8">
        <f t="shared" si="19"/>
        <v>40</v>
      </c>
      <c r="AF52" s="249" t="s">
        <v>1101</v>
      </c>
      <c r="AG52" s="151"/>
      <c r="AH52" s="978"/>
      <c r="AI52" s="147">
        <v>15998328.99</v>
      </c>
      <c r="AJ52" s="1242"/>
      <c r="AK52" s="734"/>
      <c r="AL52" s="734"/>
      <c r="AM52" s="734"/>
      <c r="AN52" s="734"/>
      <c r="AO52" s="734"/>
      <c r="AP52" s="1242"/>
      <c r="AQ52" s="112"/>
      <c r="AR52" s="112"/>
      <c r="AS52" s="112"/>
      <c r="AT52" s="112"/>
      <c r="AU52" s="8">
        <f t="shared" si="13"/>
        <v>40</v>
      </c>
      <c r="AV52" s="269" t="s">
        <v>798</v>
      </c>
      <c r="AW52" s="378">
        <v>354580.19999999995</v>
      </c>
      <c r="AX52" s="1133">
        <v>0</v>
      </c>
      <c r="AY52" s="1342">
        <f t="shared" si="16"/>
        <v>-354580.19999999995</v>
      </c>
      <c r="AZ52" s="8">
        <f t="shared" si="10"/>
        <v>40</v>
      </c>
      <c r="BA52" s="269" t="s">
        <v>682</v>
      </c>
      <c r="BB52" s="351">
        <f t="shared" si="22"/>
        <v>0</v>
      </c>
      <c r="BC52" s="128">
        <f t="shared" si="20"/>
        <v>0</v>
      </c>
      <c r="BD52" s="128">
        <f t="shared" si="21"/>
        <v>0</v>
      </c>
      <c r="BE52" s="112"/>
      <c r="BF52" s="112"/>
      <c r="BG52" s="112"/>
      <c r="BH52" s="112"/>
      <c r="BI52" s="112"/>
      <c r="BJ52" s="933"/>
      <c r="BK52" s="933"/>
      <c r="BL52" s="933"/>
      <c r="BM52" s="933"/>
      <c r="BN52" s="933"/>
      <c r="BO52" s="1242"/>
      <c r="BP52" s="1242"/>
      <c r="BQ52" s="1242"/>
      <c r="BR52" s="1242"/>
      <c r="BS52" s="1242"/>
      <c r="CI52" s="91"/>
      <c r="CJ52" s="109"/>
      <c r="CK52" s="109"/>
      <c r="CL52" s="109"/>
      <c r="CM52" s="109"/>
    </row>
    <row r="53" spans="1:91" s="1068" customFormat="1" ht="13.5">
      <c r="A53" s="91" t="s">
        <v>939</v>
      </c>
      <c r="B53" s="1242"/>
      <c r="C53" s="128"/>
      <c r="D53" s="1242"/>
      <c r="E53" s="36"/>
      <c r="F53" s="1242"/>
      <c r="G53" s="1242"/>
      <c r="H53" s="1242"/>
      <c r="I53" s="1242"/>
      <c r="J53" s="1242"/>
      <c r="K53" s="1242"/>
      <c r="L53" s="1242"/>
      <c r="M53" s="1242"/>
      <c r="N53" s="1242"/>
      <c r="O53" s="1242"/>
      <c r="P53" s="1242"/>
      <c r="Q53" s="1242"/>
      <c r="R53" s="1242"/>
      <c r="S53" s="1242"/>
      <c r="T53" s="1242"/>
      <c r="U53" s="1242"/>
      <c r="V53" s="1242"/>
      <c r="W53" s="1242"/>
      <c r="X53" s="1242"/>
      <c r="Y53" s="1242"/>
      <c r="Z53" s="750" t="s">
        <v>938</v>
      </c>
      <c r="AA53" s="755"/>
      <c r="AB53" s="750"/>
      <c r="AC53" s="750" t="s">
        <v>938</v>
      </c>
      <c r="AD53" s="128"/>
      <c r="AE53" s="8">
        <f t="shared" si="19"/>
        <v>41</v>
      </c>
      <c r="AF53" s="269"/>
      <c r="AG53" s="442"/>
      <c r="AH53" s="452"/>
      <c r="AI53" s="452"/>
      <c r="AJ53" s="149"/>
      <c r="AK53" s="734"/>
      <c r="AL53" s="734"/>
      <c r="AM53" s="734"/>
      <c r="AN53" s="734"/>
      <c r="AO53" s="734"/>
      <c r="AP53" s="1242"/>
      <c r="AQ53" s="112"/>
      <c r="AR53" s="112"/>
      <c r="AS53" s="112"/>
      <c r="AT53" s="112"/>
      <c r="AU53" s="8">
        <f t="shared" si="13"/>
        <v>41</v>
      </c>
      <c r="AV53" s="269" t="s">
        <v>799</v>
      </c>
      <c r="AW53" s="378">
        <v>119333.19999999995</v>
      </c>
      <c r="AX53" s="1133">
        <v>0</v>
      </c>
      <c r="AY53" s="1342">
        <f t="shared" si="16"/>
        <v>-119333.19999999995</v>
      </c>
      <c r="AZ53" s="8">
        <f t="shared" ref="AZ53:AZ107" si="23">AZ52+1</f>
        <v>41</v>
      </c>
      <c r="BA53" s="269" t="s">
        <v>683</v>
      </c>
      <c r="BB53" s="351">
        <f t="shared" si="22"/>
        <v>-392169.66666666669</v>
      </c>
      <c r="BC53" s="128">
        <f t="shared" si="20"/>
        <v>8231.6413033333338</v>
      </c>
      <c r="BD53" s="128">
        <f t="shared" si="21"/>
        <v>-2881</v>
      </c>
      <c r="BE53" s="112"/>
      <c r="BF53" s="112"/>
      <c r="BG53" s="112"/>
      <c r="BH53" s="112"/>
      <c r="BI53" s="112"/>
      <c r="BJ53" s="933"/>
      <c r="BK53" s="933"/>
      <c r="BL53" s="933"/>
      <c r="BM53" s="933"/>
      <c r="BN53" s="933"/>
      <c r="BO53" s="1242"/>
      <c r="BP53" s="1242"/>
      <c r="BQ53" s="1242"/>
      <c r="BR53" s="1242"/>
      <c r="BS53" s="1242"/>
      <c r="CI53" s="91"/>
      <c r="CJ53" s="109"/>
      <c r="CK53" s="109"/>
      <c r="CL53" s="109"/>
      <c r="CM53" s="36"/>
    </row>
    <row r="54" spans="1:91" s="1068" customFormat="1" ht="13.5">
      <c r="A54" s="91" t="s">
        <v>939</v>
      </c>
      <c r="B54" s="1242"/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2"/>
      <c r="R54" s="1242"/>
      <c r="S54" s="1242"/>
      <c r="T54" s="1242"/>
      <c r="U54" s="1242"/>
      <c r="V54" s="1242"/>
      <c r="W54" s="1242"/>
      <c r="X54" s="1242"/>
      <c r="Y54" s="1242"/>
      <c r="Z54" s="1242"/>
      <c r="AA54" s="1242"/>
      <c r="AB54" s="128"/>
      <c r="AC54" s="128"/>
      <c r="AD54" s="128"/>
      <c r="AE54" s="8">
        <f t="shared" si="19"/>
        <v>42</v>
      </c>
      <c r="AF54" s="269" t="s">
        <v>763</v>
      </c>
      <c r="AG54" s="978"/>
      <c r="AH54" s="151"/>
      <c r="AI54" s="312"/>
      <c r="AJ54" s="147">
        <f>AI51-AI52</f>
        <v>-520924.65980769135</v>
      </c>
      <c r="AK54" s="734"/>
      <c r="AL54" s="734"/>
      <c r="AM54" s="734"/>
      <c r="AN54" s="734"/>
      <c r="AO54" s="734"/>
      <c r="AP54" s="1242"/>
      <c r="AQ54" s="112"/>
      <c r="AR54" s="112"/>
      <c r="AS54" s="112"/>
      <c r="AT54" s="112"/>
      <c r="AU54" s="8">
        <f t="shared" si="13"/>
        <v>42</v>
      </c>
      <c r="AV54" s="269" t="s">
        <v>800</v>
      </c>
      <c r="AW54" s="378">
        <v>456270.14391304349</v>
      </c>
      <c r="AX54" s="1133">
        <v>0</v>
      </c>
      <c r="AY54" s="1342">
        <f t="shared" si="16"/>
        <v>-456270.14391304349</v>
      </c>
      <c r="AZ54" s="8">
        <f t="shared" si="23"/>
        <v>42</v>
      </c>
      <c r="BA54" s="269" t="s">
        <v>684</v>
      </c>
      <c r="BB54" s="351">
        <f t="shared" si="22"/>
        <v>-537626.2135922329</v>
      </c>
      <c r="BC54" s="128">
        <f t="shared" si="20"/>
        <v>11284.77422330097</v>
      </c>
      <c r="BD54" s="128">
        <f>ROUND(BC54*-FIT,0)</f>
        <v>-3950</v>
      </c>
      <c r="BE54" s="112"/>
      <c r="BF54" s="112"/>
      <c r="BG54" s="112"/>
      <c r="BH54" s="112"/>
      <c r="BI54" s="112"/>
      <c r="BJ54" s="933"/>
      <c r="BK54" s="933"/>
      <c r="BL54" s="933"/>
      <c r="BM54" s="933"/>
      <c r="BN54" s="933"/>
      <c r="BO54" s="1242"/>
      <c r="BP54" s="1242"/>
      <c r="BQ54" s="1242"/>
      <c r="BR54" s="1242"/>
      <c r="BS54" s="1242"/>
      <c r="CI54" s="91"/>
      <c r="CJ54" s="109"/>
      <c r="CK54" s="109"/>
      <c r="CL54" s="109"/>
      <c r="CM54" s="109"/>
    </row>
    <row r="55" spans="1:91" s="1068" customFormat="1" ht="13.5">
      <c r="A55" s="91" t="s">
        <v>939</v>
      </c>
      <c r="B55" s="1242"/>
      <c r="C55" s="1242"/>
      <c r="D55" s="1242"/>
      <c r="E55" s="1242"/>
      <c r="F55" s="91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8"/>
      <c r="AC55" s="128"/>
      <c r="AD55" s="128"/>
      <c r="AE55" s="8">
        <f t="shared" si="19"/>
        <v>43</v>
      </c>
      <c r="AF55" s="312"/>
      <c r="AG55" s="978"/>
      <c r="AH55" s="112"/>
      <c r="AI55" s="151"/>
      <c r="AJ55" s="151"/>
      <c r="AK55" s="1242"/>
      <c r="AL55" s="1242"/>
      <c r="AM55" s="1242"/>
      <c r="AN55" s="1242"/>
      <c r="AO55" s="1242"/>
      <c r="AP55" s="1242"/>
      <c r="AQ55" s="112"/>
      <c r="AR55" s="112"/>
      <c r="AS55" s="112"/>
      <c r="AT55" s="112"/>
      <c r="AU55" s="8">
        <f t="shared" si="13"/>
        <v>43</v>
      </c>
      <c r="AV55" s="1242" t="s">
        <v>1117</v>
      </c>
      <c r="AW55" s="1238">
        <f>SUM(AW38:AW54)</f>
        <v>14666166.004881268</v>
      </c>
      <c r="AX55" s="1358">
        <f>SUM(AX38:AX54)</f>
        <v>7881448.5359933767</v>
      </c>
      <c r="AY55" s="1358">
        <f>SUM(AY38:AY54)</f>
        <v>-6784717.4688878972</v>
      </c>
      <c r="AZ55" s="8">
        <f t="shared" si="23"/>
        <v>43</v>
      </c>
      <c r="BA55" s="269" t="s">
        <v>737</v>
      </c>
      <c r="BB55" s="351">
        <f t="shared" si="22"/>
        <v>2872181.8354855985</v>
      </c>
      <c r="BC55" s="128">
        <f t="shared" si="20"/>
        <v>-60287.096726842719</v>
      </c>
      <c r="BD55" s="128">
        <f t="shared" si="21"/>
        <v>21100</v>
      </c>
      <c r="BE55" s="112"/>
      <c r="BF55" s="112"/>
      <c r="BG55" s="112"/>
      <c r="BH55" s="112"/>
      <c r="BI55" s="112"/>
      <c r="BJ55" s="933"/>
      <c r="BK55" s="933"/>
      <c r="BL55" s="933"/>
      <c r="BM55" s="933"/>
      <c r="BN55" s="933"/>
      <c r="BO55" s="1242"/>
      <c r="BP55" s="1242"/>
      <c r="BQ55" s="1242"/>
      <c r="BR55" s="1242"/>
      <c r="BS55" s="1242"/>
      <c r="CI55" s="1242"/>
      <c r="CJ55" s="109"/>
      <c r="CK55" s="109"/>
      <c r="CL55" s="109"/>
      <c r="CM55" s="109"/>
    </row>
    <row r="56" spans="1:91" s="1068" customFormat="1">
      <c r="A56" s="1242"/>
      <c r="B56" s="1242"/>
      <c r="C56" s="109"/>
      <c r="F56" s="91"/>
      <c r="G56" s="1242"/>
      <c r="H56" s="1242"/>
      <c r="I56" s="1242"/>
      <c r="J56" s="1242"/>
      <c r="K56" s="1242"/>
      <c r="L56" s="1242"/>
      <c r="M56" s="1242"/>
      <c r="N56" s="1242"/>
      <c r="O56" s="1242"/>
      <c r="P56" s="1242"/>
      <c r="Q56" s="1242"/>
      <c r="R56" s="1242"/>
      <c r="S56" s="1242"/>
      <c r="T56" s="1242"/>
      <c r="U56" s="1242"/>
      <c r="V56" s="1242"/>
      <c r="W56" s="1242"/>
      <c r="X56" s="1242"/>
      <c r="Y56" s="1242"/>
      <c r="Z56" s="1242"/>
      <c r="AA56" s="1242"/>
      <c r="AB56" s="128"/>
      <c r="AC56" s="128"/>
      <c r="AD56" s="128"/>
      <c r="AE56" s="8">
        <f t="shared" si="19"/>
        <v>44</v>
      </c>
      <c r="AF56" s="269" t="s">
        <v>1104</v>
      </c>
      <c r="AG56" s="978"/>
      <c r="AH56" s="151"/>
      <c r="AI56" s="151"/>
      <c r="AJ56" s="151">
        <f>AJ28+AJ54</f>
        <v>-2076175.7481410271</v>
      </c>
      <c r="AK56" s="1242"/>
      <c r="AL56" s="1242"/>
      <c r="AM56" s="1242"/>
      <c r="AN56" s="1242"/>
      <c r="AO56" s="1242"/>
      <c r="AP56" s="1242"/>
      <c r="AQ56" s="112"/>
      <c r="AR56" s="112"/>
      <c r="AS56" s="112"/>
      <c r="AT56" s="112"/>
      <c r="AU56" s="8">
        <f t="shared" si="13"/>
        <v>44</v>
      </c>
      <c r="AV56" s="933"/>
      <c r="AW56" s="1310"/>
      <c r="AX56" s="1310"/>
      <c r="AY56" s="1310"/>
      <c r="AZ56" s="8">
        <f t="shared" si="23"/>
        <v>44</v>
      </c>
      <c r="BA56" s="269" t="s">
        <v>738</v>
      </c>
      <c r="BB56" s="351">
        <f t="shared" si="22"/>
        <v>0</v>
      </c>
      <c r="BC56" s="128">
        <f t="shared" si="20"/>
        <v>0</v>
      </c>
      <c r="BD56" s="128">
        <f>ROUND(BC56*-FIT,0)</f>
        <v>0</v>
      </c>
      <c r="BE56" s="112"/>
      <c r="BF56" s="112"/>
      <c r="BG56" s="112"/>
      <c r="BH56" s="112"/>
      <c r="BI56" s="112"/>
      <c r="BJ56" s="933"/>
      <c r="BK56" s="933"/>
      <c r="BL56" s="933"/>
      <c r="BM56" s="933"/>
      <c r="BN56" s="933"/>
      <c r="BO56" s="1242"/>
      <c r="BP56" s="1242"/>
      <c r="BQ56" s="1242"/>
      <c r="BR56" s="1242"/>
      <c r="BS56" s="1242"/>
      <c r="CI56" s="1242"/>
      <c r="CJ56" s="109"/>
      <c r="CK56" s="109"/>
      <c r="CL56" s="109"/>
      <c r="CM56" s="109"/>
    </row>
    <row r="57" spans="1:91" s="1068" customFormat="1" ht="13.5">
      <c r="A57" s="1242"/>
      <c r="B57" s="1242"/>
      <c r="C57" s="109"/>
      <c r="D57" s="1242"/>
      <c r="F57" s="91"/>
      <c r="G57" s="1242"/>
      <c r="H57" s="1242"/>
      <c r="I57" s="1242"/>
      <c r="J57" s="1242"/>
      <c r="K57" s="1242"/>
      <c r="L57" s="1242"/>
      <c r="M57" s="1242"/>
      <c r="N57" s="1242"/>
      <c r="O57" s="1242"/>
      <c r="P57" s="1242"/>
      <c r="Q57" s="1242"/>
      <c r="R57" s="1242"/>
      <c r="S57" s="1242"/>
      <c r="T57" s="1242"/>
      <c r="U57" s="1242"/>
      <c r="V57" s="1242"/>
      <c r="W57" s="1242"/>
      <c r="X57" s="1242"/>
      <c r="Y57" s="1242"/>
      <c r="Z57" s="1242"/>
      <c r="AA57" s="1242"/>
      <c r="AB57" s="128"/>
      <c r="AC57" s="128"/>
      <c r="AD57" s="128"/>
      <c r="AE57" s="8">
        <f t="shared" si="19"/>
        <v>45</v>
      </c>
      <c r="AF57" s="312"/>
      <c r="AG57" s="978"/>
      <c r="AH57" s="151"/>
      <c r="AI57" s="151"/>
      <c r="AJ57" s="134"/>
      <c r="AK57" s="1242"/>
      <c r="AL57" s="1242"/>
      <c r="AM57" s="1242"/>
      <c r="AN57" s="1242"/>
      <c r="AO57" s="1242"/>
      <c r="AP57" s="1242"/>
      <c r="AQ57" s="112"/>
      <c r="AR57" s="112"/>
      <c r="AS57" s="112"/>
      <c r="AT57" s="112"/>
      <c r="AU57" s="8">
        <f t="shared" si="13"/>
        <v>45</v>
      </c>
      <c r="AV57" s="1242"/>
      <c r="AW57" s="378"/>
      <c r="AX57" s="378"/>
      <c r="AY57" s="378"/>
      <c r="AZ57" s="8">
        <f t="shared" si="23"/>
        <v>45</v>
      </c>
      <c r="BA57" s="269" t="s">
        <v>1115</v>
      </c>
      <c r="BB57" s="1120">
        <f t="shared" si="22"/>
        <v>500000.00000000006</v>
      </c>
      <c r="BC57" s="1095">
        <f t="shared" si="20"/>
        <v>-10495.000000000002</v>
      </c>
      <c r="BD57" s="1095">
        <f>ROUND(BC57*-FIT,0)</f>
        <v>3673</v>
      </c>
      <c r="BE57" s="112"/>
      <c r="BF57" s="112"/>
      <c r="BG57" s="112"/>
      <c r="BH57" s="112"/>
      <c r="BI57" s="112"/>
      <c r="BJ57" s="933"/>
      <c r="BK57" s="933"/>
      <c r="BL57" s="933"/>
      <c r="BM57" s="933"/>
      <c r="BN57" s="933"/>
      <c r="BO57" s="1242"/>
      <c r="BP57" s="1242"/>
      <c r="BQ57" s="1242"/>
      <c r="BR57" s="1242"/>
      <c r="BS57" s="1242"/>
      <c r="CI57" s="1242"/>
      <c r="CJ57" s="109"/>
      <c r="CK57" s="109"/>
      <c r="CL57" s="109"/>
      <c r="CM57" s="109"/>
    </row>
    <row r="58" spans="1:91" s="1068" customFormat="1">
      <c r="A58" s="1242"/>
      <c r="B58" s="1242"/>
      <c r="F58" s="1242"/>
      <c r="G58" s="1242"/>
      <c r="H58" s="1242"/>
      <c r="I58" s="1242"/>
      <c r="J58" s="1242"/>
      <c r="K58" s="1242"/>
      <c r="L58" s="1242"/>
      <c r="M58" s="1242"/>
      <c r="N58" s="1242"/>
      <c r="O58" s="1242"/>
      <c r="P58" s="1242"/>
      <c r="Q58" s="1242"/>
      <c r="R58" s="1242"/>
      <c r="S58" s="1242"/>
      <c r="T58" s="1242"/>
      <c r="U58" s="1242"/>
      <c r="V58" s="1242"/>
      <c r="W58" s="1242"/>
      <c r="X58" s="1242"/>
      <c r="Y58" s="1242"/>
      <c r="Z58" s="1242"/>
      <c r="AA58" s="1242"/>
      <c r="AB58" s="128"/>
      <c r="AC58" s="128"/>
      <c r="AD58" s="128"/>
      <c r="AE58" s="8">
        <f t="shared" si="19"/>
        <v>46</v>
      </c>
      <c r="AF58" s="286" t="s">
        <v>1105</v>
      </c>
      <c r="AG58" s="286"/>
      <c r="AH58" s="287"/>
      <c r="AI58" s="979">
        <f>FIT</f>
        <v>0.35</v>
      </c>
      <c r="AJ58" s="147">
        <f>-AJ56*AI58</f>
        <v>726661.51184935938</v>
      </c>
      <c r="AK58" s="1242"/>
      <c r="AL58" s="1242"/>
      <c r="AM58" s="1242"/>
      <c r="AN58" s="1242"/>
      <c r="AO58" s="1242"/>
      <c r="AP58" s="1242"/>
      <c r="AQ58" s="112"/>
      <c r="AR58" s="112"/>
      <c r="AS58" s="112"/>
      <c r="AT58" s="112"/>
      <c r="AU58" s="8">
        <f t="shared" si="13"/>
        <v>46</v>
      </c>
      <c r="AV58" s="933"/>
      <c r="AW58" s="1310"/>
      <c r="AX58" s="1310"/>
      <c r="AY58" s="1310"/>
      <c r="AZ58" s="8">
        <f t="shared" si="23"/>
        <v>46</v>
      </c>
      <c r="BA58" s="269" t="s">
        <v>1122</v>
      </c>
      <c r="BB58" s="351">
        <f t="shared" si="22"/>
        <v>265155</v>
      </c>
      <c r="BC58" s="128">
        <f t="shared" si="20"/>
        <v>-5565.6034500000005</v>
      </c>
      <c r="BD58" s="128">
        <f>ROUND(BC58*-FIT,0)</f>
        <v>1948</v>
      </c>
      <c r="BE58" s="112"/>
      <c r="BF58" s="112"/>
      <c r="BG58" s="112"/>
      <c r="BH58" s="112"/>
      <c r="BI58" s="112"/>
      <c r="BJ58" s="933"/>
      <c r="BK58" s="933"/>
      <c r="BL58" s="933"/>
      <c r="BM58" s="933"/>
      <c r="BN58" s="933"/>
      <c r="BO58" s="1242"/>
      <c r="BP58" s="1242"/>
      <c r="BQ58" s="1242"/>
      <c r="BR58" s="1242"/>
      <c r="BS58" s="1242"/>
      <c r="CI58" s="1242"/>
      <c r="CJ58" s="109"/>
      <c r="CK58" s="109"/>
      <c r="CL58" s="109"/>
      <c r="CM58" s="109"/>
    </row>
    <row r="59" spans="1:91" s="1068" customFormat="1" ht="13.5">
      <c r="A59" s="1242"/>
      <c r="B59" s="1242"/>
      <c r="C59" s="1242"/>
      <c r="D59" s="1242"/>
      <c r="E59" s="1242"/>
      <c r="F59" s="1242"/>
      <c r="G59" s="1242"/>
      <c r="H59" s="1242"/>
      <c r="I59" s="1242"/>
      <c r="J59" s="1242"/>
      <c r="K59" s="1242"/>
      <c r="L59" s="112"/>
      <c r="M59" s="112"/>
      <c r="N59" s="112"/>
      <c r="O59" s="11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8"/>
      <c r="AC59" s="128"/>
      <c r="AD59" s="128"/>
      <c r="AE59" s="8">
        <f t="shared" si="19"/>
        <v>47</v>
      </c>
      <c r="AF59" s="112"/>
      <c r="AG59" s="112"/>
      <c r="AH59" s="151"/>
      <c r="AI59" s="151"/>
      <c r="AJ59" s="151"/>
      <c r="AK59" s="1242"/>
      <c r="AL59" s="1242"/>
      <c r="AM59" s="1242"/>
      <c r="AN59" s="1242"/>
      <c r="AO59" s="1242"/>
      <c r="AP59" s="1242"/>
      <c r="AQ59" s="112"/>
      <c r="AR59" s="112"/>
      <c r="AS59" s="112"/>
      <c r="AT59" s="112"/>
      <c r="AU59" s="8">
        <f t="shared" si="13"/>
        <v>47</v>
      </c>
      <c r="AV59" s="1349" t="s">
        <v>39</v>
      </c>
      <c r="AW59" s="1330"/>
      <c r="AX59" s="469"/>
      <c r="AY59" s="1133">
        <f>+AY55+AY57</f>
        <v>-6784717.4688878972</v>
      </c>
      <c r="AZ59" s="8">
        <f t="shared" si="23"/>
        <v>47</v>
      </c>
      <c r="BA59" s="269" t="s">
        <v>1123</v>
      </c>
      <c r="BB59" s="1120">
        <f>SUM(AX50:AX54)</f>
        <v>152585.85869565216</v>
      </c>
      <c r="BC59" s="1095">
        <f t="shared" si="20"/>
        <v>-3202.777174021739</v>
      </c>
      <c r="BD59" s="1095">
        <f t="shared" si="21"/>
        <v>1121</v>
      </c>
      <c r="BE59" s="112"/>
      <c r="BF59" s="112"/>
      <c r="BG59" s="112"/>
      <c r="BH59" s="112"/>
      <c r="BI59" s="112"/>
      <c r="BJ59" s="933"/>
      <c r="BK59" s="933"/>
      <c r="BL59" s="933"/>
      <c r="BM59" s="933"/>
      <c r="BN59" s="933"/>
      <c r="BO59" s="1242"/>
      <c r="BP59" s="1242"/>
      <c r="BQ59" s="1242"/>
      <c r="BR59" s="1242"/>
      <c r="BS59" s="1242"/>
      <c r="CI59" s="1242"/>
      <c r="CJ59" s="109"/>
      <c r="CK59" s="109"/>
      <c r="CL59" s="109"/>
      <c r="CM59" s="109"/>
    </row>
    <row r="60" spans="1:91" s="1068" customFormat="1" ht="13.5" thickBot="1">
      <c r="A60" s="1242"/>
      <c r="B60" s="1242"/>
      <c r="C60" s="1242"/>
      <c r="D60" s="1242"/>
      <c r="E60" s="1242"/>
      <c r="F60" s="1242"/>
      <c r="G60" s="1242"/>
      <c r="H60" s="1242"/>
      <c r="I60" s="1242"/>
      <c r="J60" s="1242"/>
      <c r="K60" s="1242"/>
      <c r="L60" s="112"/>
      <c r="M60" s="112"/>
      <c r="N60" s="112"/>
      <c r="O60" s="112"/>
      <c r="P60" s="1242"/>
      <c r="Q60" s="1242"/>
      <c r="R60" s="1242"/>
      <c r="S60" s="1242"/>
      <c r="T60" s="1242"/>
      <c r="U60" s="1242"/>
      <c r="V60" s="1242"/>
      <c r="W60" s="1242"/>
      <c r="X60" s="1242"/>
      <c r="Y60" s="1242"/>
      <c r="Z60" s="1242"/>
      <c r="AA60" s="1242"/>
      <c r="AB60" s="128"/>
      <c r="AC60" s="128"/>
      <c r="AD60" s="128"/>
      <c r="AE60" s="8">
        <f t="shared" si="19"/>
        <v>48</v>
      </c>
      <c r="AF60" s="288" t="s">
        <v>369</v>
      </c>
      <c r="AG60" s="288"/>
      <c r="AH60" s="284"/>
      <c r="AI60" s="284"/>
      <c r="AJ60" s="980">
        <f>-AJ56-AJ58</f>
        <v>1349514.2362916677</v>
      </c>
      <c r="AK60" s="1242"/>
      <c r="AL60" s="1242"/>
      <c r="AM60" s="1242"/>
      <c r="AN60" s="1242"/>
      <c r="AO60" s="1242"/>
      <c r="AP60" s="1242"/>
      <c r="AQ60" s="112"/>
      <c r="AR60" s="112"/>
      <c r="AS60" s="112"/>
      <c r="AT60" s="112"/>
      <c r="AU60" s="8">
        <f t="shared" si="13"/>
        <v>48</v>
      </c>
      <c r="AW60" s="1310"/>
      <c r="AX60" s="470"/>
      <c r="AY60" s="471"/>
      <c r="AZ60" s="8">
        <f t="shared" si="23"/>
        <v>48</v>
      </c>
      <c r="BA60" s="269" t="s">
        <v>1385</v>
      </c>
      <c r="BB60" s="351">
        <f>N28</f>
        <v>697744.73901240679</v>
      </c>
      <c r="BC60" s="128">
        <f t="shared" si="20"/>
        <v>-14645.66207187042</v>
      </c>
      <c r="BD60" s="128">
        <f t="shared" si="21"/>
        <v>5126</v>
      </c>
      <c r="BE60" s="112"/>
      <c r="BF60" s="112"/>
      <c r="BG60" s="112"/>
      <c r="BH60" s="112"/>
      <c r="BI60" s="112"/>
      <c r="BJ60" s="933"/>
      <c r="BK60" s="933"/>
      <c r="BL60" s="933"/>
      <c r="BM60" s="933"/>
      <c r="BN60" s="933"/>
      <c r="BO60" s="1242"/>
      <c r="BP60" s="1242"/>
      <c r="BQ60" s="1242"/>
      <c r="BR60" s="1242"/>
      <c r="BS60" s="1242"/>
      <c r="CI60" s="1242"/>
      <c r="CJ60" s="109"/>
      <c r="CK60" s="109"/>
      <c r="CL60" s="109"/>
      <c r="CM60" s="109"/>
    </row>
    <row r="61" spans="1:91" s="1068" customFormat="1" ht="14.25" thickTop="1">
      <c r="A61" s="1242"/>
      <c r="B61" s="1242"/>
      <c r="C61" s="1242"/>
      <c r="D61" s="1242"/>
      <c r="E61" s="1242"/>
      <c r="F61" s="1242"/>
      <c r="G61" s="1242"/>
      <c r="H61" s="1242"/>
      <c r="I61" s="1242"/>
      <c r="J61" s="1242"/>
      <c r="K61" s="1242"/>
      <c r="L61" s="112"/>
      <c r="M61" s="112"/>
      <c r="N61" s="112"/>
      <c r="O61" s="112"/>
      <c r="P61" s="1242"/>
      <c r="Q61" s="1242"/>
      <c r="R61" s="1242"/>
      <c r="S61" s="1242"/>
      <c r="T61" s="1242"/>
      <c r="U61" s="1242"/>
      <c r="V61" s="1242"/>
      <c r="W61" s="1242"/>
      <c r="X61" s="1242"/>
      <c r="Y61" s="1242"/>
      <c r="Z61" s="1242"/>
      <c r="AA61" s="1242"/>
      <c r="AB61" s="128"/>
      <c r="AC61" s="128"/>
      <c r="AD61" s="128"/>
      <c r="AE61" s="8"/>
      <c r="AF61" s="112"/>
      <c r="AG61" s="112"/>
      <c r="AH61" s="284"/>
      <c r="AI61" s="284"/>
      <c r="AJ61" s="112"/>
      <c r="AK61" s="1242"/>
      <c r="AL61" s="1242"/>
      <c r="AM61" s="1242"/>
      <c r="AN61" s="1242"/>
      <c r="AO61" s="1242"/>
      <c r="AP61" s="1242"/>
      <c r="AQ61" s="112"/>
      <c r="AR61" s="112"/>
      <c r="AS61" s="112"/>
      <c r="AT61" s="112"/>
      <c r="AU61" s="8">
        <f t="shared" si="13"/>
        <v>49</v>
      </c>
      <c r="AV61" s="1068" t="s">
        <v>31</v>
      </c>
      <c r="AW61" s="1310"/>
      <c r="AX61" s="470">
        <v>0.35</v>
      </c>
      <c r="AY61" s="1359">
        <f>-AY55*AX61</f>
        <v>2374651.1141107637</v>
      </c>
      <c r="AZ61" s="8">
        <f t="shared" si="23"/>
        <v>49</v>
      </c>
      <c r="BA61" s="1068" t="s">
        <v>1395</v>
      </c>
      <c r="BB61" s="128">
        <f>'JHS-20'!O27</f>
        <v>420202.58515248541</v>
      </c>
      <c r="BC61" s="128">
        <f t="shared" si="20"/>
        <v>-8820.0522623506695</v>
      </c>
      <c r="BD61" s="745">
        <f>ROUND(BC61*-FIT,0)</f>
        <v>3087</v>
      </c>
      <c r="BE61" s="112"/>
      <c r="BF61" s="112"/>
      <c r="BG61" s="112"/>
      <c r="BH61" s="112"/>
      <c r="BI61" s="112"/>
      <c r="BJ61" s="933"/>
      <c r="BK61" s="933"/>
      <c r="BL61" s="933"/>
      <c r="BM61" s="933"/>
      <c r="BN61" s="933"/>
      <c r="BO61" s="547"/>
      <c r="BP61" s="1242"/>
      <c r="BQ61" s="1242"/>
      <c r="BR61" s="1242"/>
      <c r="BS61" s="1242"/>
      <c r="CI61" s="1242"/>
      <c r="CJ61" s="109"/>
      <c r="CK61" s="109"/>
      <c r="CL61" s="109"/>
      <c r="CM61" s="109"/>
    </row>
    <row r="62" spans="1:91" s="1068" customFormat="1" ht="13.5">
      <c r="A62" s="1242"/>
      <c r="B62" s="1242"/>
      <c r="C62" s="1242"/>
      <c r="D62" s="1242"/>
      <c r="E62" s="1242"/>
      <c r="F62" s="1242"/>
      <c r="G62" s="1242"/>
      <c r="H62" s="1242"/>
      <c r="I62" s="1242"/>
      <c r="J62" s="1242"/>
      <c r="K62" s="1242"/>
      <c r="L62" s="112"/>
      <c r="M62" s="112"/>
      <c r="N62" s="112"/>
      <c r="O62" s="11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8"/>
      <c r="AC62" s="128"/>
      <c r="AD62" s="128"/>
      <c r="AE62" s="8"/>
      <c r="AF62" s="288"/>
      <c r="AG62" s="288"/>
      <c r="AH62" s="151"/>
      <c r="AI62" s="151"/>
      <c r="AJ62" s="151"/>
      <c r="AK62" s="1242"/>
      <c r="AL62" s="1242"/>
      <c r="AM62" s="1242"/>
      <c r="AN62" s="1242"/>
      <c r="AO62" s="1242"/>
      <c r="AP62" s="1242"/>
      <c r="AQ62" s="112"/>
      <c r="AR62" s="112"/>
      <c r="AS62" s="112"/>
      <c r="AT62" s="112"/>
      <c r="AU62" s="8">
        <f t="shared" si="13"/>
        <v>50</v>
      </c>
      <c r="AW62" s="1310"/>
      <c r="AZ62" s="8">
        <f t="shared" si="23"/>
        <v>50</v>
      </c>
      <c r="BA62" s="1068" t="s">
        <v>1396</v>
      </c>
      <c r="BB62" s="1095">
        <f>BH16</f>
        <v>4580590.941704548</v>
      </c>
      <c r="BC62" s="1095">
        <f t="shared" si="20"/>
        <v>-96146.603866378471</v>
      </c>
      <c r="BD62" s="1105">
        <f>ROUND(BC62*-FIT,0)</f>
        <v>33651</v>
      </c>
      <c r="BE62" s="112"/>
      <c r="BF62" s="112"/>
      <c r="BG62" s="112"/>
      <c r="BH62" s="112"/>
      <c r="BI62" s="112"/>
      <c r="BJ62" s="933"/>
      <c r="BK62" s="933"/>
      <c r="BL62" s="933"/>
      <c r="BM62" s="933"/>
      <c r="BN62" s="933"/>
      <c r="BO62" s="1242"/>
      <c r="BP62" s="1242"/>
      <c r="BQ62" s="1242"/>
      <c r="BR62" s="1242"/>
      <c r="BS62" s="1242"/>
      <c r="CI62" s="1242"/>
      <c r="CJ62" s="109"/>
      <c r="CK62" s="109"/>
      <c r="CL62" s="109"/>
      <c r="CM62" s="109"/>
    </row>
    <row r="63" spans="1:91" s="1068" customFormat="1" ht="14.25" thickBot="1">
      <c r="A63" s="1242"/>
      <c r="B63" s="1242"/>
      <c r="C63" s="1242"/>
      <c r="D63" s="1242"/>
      <c r="E63" s="1242"/>
      <c r="F63" s="1242"/>
      <c r="G63" s="1242"/>
      <c r="H63" s="1242"/>
      <c r="I63" s="1242"/>
      <c r="J63" s="1242"/>
      <c r="K63" s="1242"/>
      <c r="L63" s="112"/>
      <c r="M63" s="112"/>
      <c r="N63" s="112"/>
      <c r="O63" s="112"/>
      <c r="P63" s="1242"/>
      <c r="Q63" s="1242"/>
      <c r="R63" s="1242"/>
      <c r="S63" s="1242"/>
      <c r="T63" s="1242"/>
      <c r="U63" s="1242"/>
      <c r="V63" s="1242"/>
      <c r="W63" s="1242"/>
      <c r="X63" s="1242"/>
      <c r="Y63" s="1242"/>
      <c r="Z63" s="1242"/>
      <c r="AA63" s="1242"/>
      <c r="AB63" s="128"/>
      <c r="AC63" s="128"/>
      <c r="AD63" s="128"/>
      <c r="AE63" s="8"/>
      <c r="AF63" s="112"/>
      <c r="AG63" s="112"/>
      <c r="AH63" s="112"/>
      <c r="AI63" s="112"/>
      <c r="AJ63" s="112"/>
      <c r="AK63" s="1242"/>
      <c r="AL63" s="1242"/>
      <c r="AM63" s="1242"/>
      <c r="AN63" s="1242"/>
      <c r="AO63" s="1242"/>
      <c r="AP63" s="1242"/>
      <c r="AQ63" s="112"/>
      <c r="AR63" s="112"/>
      <c r="AS63" s="112"/>
      <c r="AT63" s="112"/>
      <c r="AU63" s="8">
        <f t="shared" si="13"/>
        <v>51</v>
      </c>
      <c r="AV63" s="1068" t="s">
        <v>369</v>
      </c>
      <c r="AW63" s="1310"/>
      <c r="AY63" s="1360">
        <f>-AY59-AY61</f>
        <v>4410066.3547771331</v>
      </c>
      <c r="AZ63" s="8">
        <f t="shared" si="23"/>
        <v>51</v>
      </c>
      <c r="BA63" s="269" t="s">
        <v>1124</v>
      </c>
      <c r="BB63" s="351">
        <f>AS28</f>
        <v>7088065.5894999942</v>
      </c>
      <c r="BC63" s="149">
        <f t="shared" si="20"/>
        <v>-148778.49672360488</v>
      </c>
      <c r="BD63" s="149">
        <f>ROUND(BC63*-FIT,0)</f>
        <v>52072</v>
      </c>
      <c r="BE63" s="112"/>
      <c r="BF63" s="112"/>
      <c r="BG63" s="112"/>
      <c r="BH63" s="112"/>
      <c r="BI63" s="112"/>
      <c r="BJ63" s="933"/>
      <c r="BK63" s="933"/>
      <c r="BL63" s="933"/>
      <c r="BM63" s="933"/>
      <c r="BN63" s="933"/>
      <c r="BO63" s="1242"/>
      <c r="BP63" s="1242"/>
      <c r="BQ63" s="1242"/>
      <c r="BR63" s="1242"/>
      <c r="BS63" s="1242"/>
      <c r="CI63" s="1242"/>
      <c r="CJ63" s="109"/>
      <c r="CK63" s="109"/>
      <c r="CL63" s="109"/>
      <c r="CM63" s="109"/>
    </row>
    <row r="64" spans="1:91" s="1068" customFormat="1" ht="14.25" thickTop="1">
      <c r="A64" s="1242"/>
      <c r="B64" s="1242"/>
      <c r="C64" s="1242"/>
      <c r="D64" s="1242"/>
      <c r="E64" s="1242"/>
      <c r="F64" s="1242"/>
      <c r="G64" s="1242"/>
      <c r="H64" s="1242"/>
      <c r="I64" s="1242"/>
      <c r="J64" s="1242"/>
      <c r="K64" s="1242"/>
      <c r="L64" s="112"/>
      <c r="M64" s="112"/>
      <c r="N64" s="112"/>
      <c r="O64" s="112"/>
      <c r="P64" s="1242"/>
      <c r="Q64" s="1242"/>
      <c r="R64" s="1242"/>
      <c r="S64" s="1242"/>
      <c r="T64" s="1242"/>
      <c r="U64" s="1242"/>
      <c r="V64" s="1242"/>
      <c r="W64" s="1242"/>
      <c r="X64" s="1242"/>
      <c r="Y64" s="1242"/>
      <c r="Z64" s="1242"/>
      <c r="AA64" s="1242"/>
      <c r="AB64" s="128"/>
      <c r="AC64" s="128"/>
      <c r="AD64" s="128"/>
      <c r="AE64" s="8"/>
      <c r="AF64" s="112"/>
      <c r="AG64" s="112"/>
      <c r="AH64" s="112"/>
      <c r="AI64" s="112"/>
      <c r="AJ64" s="134"/>
      <c r="AK64" s="1242"/>
      <c r="AL64" s="1242"/>
      <c r="AM64" s="1242"/>
      <c r="AN64" s="1242"/>
      <c r="AO64" s="1242"/>
      <c r="AP64" s="1242"/>
      <c r="AQ64" s="112"/>
      <c r="AR64" s="112"/>
      <c r="AS64" s="112"/>
      <c r="AT64" s="112"/>
      <c r="AU64" s="8"/>
      <c r="AV64" s="78"/>
      <c r="AW64" s="135"/>
      <c r="AX64" s="135"/>
      <c r="AY64" s="135"/>
      <c r="AZ64" s="8">
        <f t="shared" si="23"/>
        <v>52</v>
      </c>
      <c r="BA64" s="1242" t="s">
        <v>1117</v>
      </c>
      <c r="BB64" s="1361">
        <f>SUM(BB47:BB63)</f>
        <v>20668052.391362812</v>
      </c>
      <c r="BC64" s="1361">
        <f>SUM(BC47:BC63)</f>
        <v>-433822.4196947054</v>
      </c>
      <c r="BD64" s="1361">
        <f>SUM(BD47:BD63)</f>
        <v>151836</v>
      </c>
      <c r="BE64" s="112"/>
      <c r="BF64" s="112"/>
      <c r="BG64" s="112"/>
      <c r="BH64" s="112"/>
      <c r="BI64" s="112"/>
      <c r="BJ64" s="933"/>
      <c r="BK64" s="933"/>
      <c r="BL64" s="933"/>
      <c r="BM64" s="933"/>
      <c r="BN64" s="933"/>
      <c r="BO64" s="109"/>
      <c r="BP64" s="1242"/>
      <c r="BQ64" s="1242"/>
      <c r="BR64" s="1242"/>
      <c r="BS64" s="1242"/>
      <c r="CI64" s="1242"/>
      <c r="CJ64" s="109"/>
      <c r="CK64" s="109"/>
      <c r="CL64" s="109"/>
      <c r="CM64" s="109"/>
    </row>
    <row r="65" spans="1:91" s="933" customFormat="1">
      <c r="A65" s="1242"/>
      <c r="B65" s="1242"/>
      <c r="C65" s="1242"/>
      <c r="D65" s="1242"/>
      <c r="E65" s="1242"/>
      <c r="F65" s="1242"/>
      <c r="G65" s="1242"/>
      <c r="H65" s="1242"/>
      <c r="I65" s="1242"/>
      <c r="J65" s="1242"/>
      <c r="K65" s="1242"/>
      <c r="L65" s="112"/>
      <c r="M65" s="112"/>
      <c r="N65" s="112"/>
      <c r="O65" s="112"/>
      <c r="P65" s="1242"/>
      <c r="Q65" s="1242"/>
      <c r="R65" s="1242"/>
      <c r="S65" s="1242"/>
      <c r="T65" s="1242"/>
      <c r="U65" s="1242"/>
      <c r="V65" s="1242"/>
      <c r="W65" s="1242"/>
      <c r="X65" s="1242"/>
      <c r="Y65" s="1242"/>
      <c r="Z65" s="1242"/>
      <c r="AA65" s="1242"/>
      <c r="AB65" s="128"/>
      <c r="AC65" s="128"/>
      <c r="AD65" s="128"/>
      <c r="AE65" s="8"/>
      <c r="AF65" s="112"/>
      <c r="AG65" s="112"/>
      <c r="AH65" s="112"/>
      <c r="AI65" s="112"/>
      <c r="AJ65" s="112"/>
      <c r="AK65" s="1242"/>
      <c r="AL65" s="1242"/>
      <c r="AM65" s="1242"/>
      <c r="AN65" s="1242"/>
      <c r="AO65" s="1242"/>
      <c r="AP65" s="1242"/>
      <c r="AQ65" s="112"/>
      <c r="AR65" s="112"/>
      <c r="AS65" s="112"/>
      <c r="AT65" s="112"/>
      <c r="AU65" s="8"/>
      <c r="AV65" s="132"/>
      <c r="AW65" s="132"/>
      <c r="AX65" s="132"/>
      <c r="AY65" s="132"/>
      <c r="AZ65" s="8">
        <f t="shared" si="23"/>
        <v>53</v>
      </c>
      <c r="BA65" s="1068"/>
      <c r="BB65" s="745"/>
      <c r="BC65" s="745"/>
      <c r="BD65" s="745"/>
      <c r="BE65" s="112"/>
      <c r="BF65" s="112"/>
      <c r="BG65" s="112"/>
      <c r="BH65" s="112"/>
      <c r="BI65" s="112"/>
      <c r="BO65" s="1242"/>
      <c r="BP65" s="1242"/>
      <c r="BQ65" s="1242"/>
      <c r="BR65" s="1242"/>
      <c r="BS65" s="1242"/>
      <c r="BT65" s="1068"/>
      <c r="BU65" s="1068"/>
      <c r="BV65" s="1068"/>
      <c r="BW65" s="1068"/>
      <c r="BX65" s="1068"/>
      <c r="BY65" s="1068"/>
      <c r="BZ65" s="1068"/>
      <c r="CA65" s="1068"/>
      <c r="CB65" s="1068"/>
      <c r="CC65" s="1068"/>
      <c r="CD65" s="1068"/>
      <c r="CE65" s="1068"/>
      <c r="CF65" s="1068"/>
      <c r="CG65" s="1068"/>
      <c r="CH65" s="1068"/>
      <c r="CI65" s="1242"/>
      <c r="CJ65" s="109"/>
      <c r="CK65" s="109"/>
      <c r="CL65" s="109"/>
      <c r="CM65" s="109"/>
    </row>
    <row r="66" spans="1:91" s="933" customFormat="1">
      <c r="A66" s="1242"/>
      <c r="B66" s="1242"/>
      <c r="C66" s="1242"/>
      <c r="D66" s="1242"/>
      <c r="E66" s="1242"/>
      <c r="F66" s="1242"/>
      <c r="G66" s="1242"/>
      <c r="H66" s="1242"/>
      <c r="I66" s="1242"/>
      <c r="J66" s="1242"/>
      <c r="K66" s="1242"/>
      <c r="L66" s="112"/>
      <c r="M66" s="112"/>
      <c r="N66" s="112"/>
      <c r="O66" s="112"/>
      <c r="P66" s="1242"/>
      <c r="Q66" s="1242"/>
      <c r="R66" s="1242"/>
      <c r="S66" s="1242"/>
      <c r="T66" s="1242"/>
      <c r="U66" s="1242"/>
      <c r="V66" s="1242"/>
      <c r="W66" s="1242"/>
      <c r="X66" s="1242"/>
      <c r="Y66" s="1242"/>
      <c r="Z66" s="1242"/>
      <c r="AA66" s="1242"/>
      <c r="AB66" s="128"/>
      <c r="AC66" s="128"/>
      <c r="AD66" s="128"/>
      <c r="AE66" s="8"/>
      <c r="AF66" s="112"/>
      <c r="AG66" s="112"/>
      <c r="AH66" s="112"/>
      <c r="AI66" s="112"/>
      <c r="AJ66" s="112"/>
      <c r="AK66" s="1242"/>
      <c r="AL66" s="1242"/>
      <c r="AM66" s="1242"/>
      <c r="AN66" s="1242"/>
      <c r="AO66" s="1242"/>
      <c r="AP66" s="1242"/>
      <c r="AQ66" s="112"/>
      <c r="AR66" s="112"/>
      <c r="AS66" s="112"/>
      <c r="AT66" s="112"/>
      <c r="AU66" s="8"/>
      <c r="AV66" s="132"/>
      <c r="AW66" s="132"/>
      <c r="AX66" s="132"/>
      <c r="AY66" s="132"/>
      <c r="AZ66" s="8">
        <f t="shared" si="23"/>
        <v>54</v>
      </c>
      <c r="BA66" s="1242"/>
      <c r="BB66" s="745"/>
      <c r="BC66" s="745"/>
      <c r="BD66" s="351"/>
      <c r="BE66" s="112"/>
      <c r="BF66" s="112"/>
      <c r="BG66" s="112"/>
      <c r="BH66" s="112"/>
      <c r="BI66" s="112"/>
      <c r="BO66" s="1242"/>
      <c r="BP66" s="1242"/>
      <c r="BQ66" s="1242"/>
      <c r="BR66" s="1242"/>
      <c r="BS66" s="1242"/>
      <c r="BT66" s="1068"/>
      <c r="BU66" s="1068"/>
      <c r="BV66" s="1068"/>
      <c r="BW66" s="1068"/>
      <c r="BX66" s="1068"/>
      <c r="BY66" s="1068"/>
      <c r="BZ66" s="1068"/>
      <c r="CA66" s="1068"/>
      <c r="CB66" s="1068"/>
      <c r="CC66" s="1068"/>
      <c r="CD66" s="1068"/>
      <c r="CE66" s="1068"/>
      <c r="CF66" s="1068"/>
      <c r="CG66" s="1068"/>
      <c r="CH66" s="1068"/>
      <c r="CI66" s="1242"/>
      <c r="CJ66" s="109"/>
      <c r="CK66" s="109"/>
      <c r="CL66" s="109"/>
      <c r="CM66" s="109"/>
    </row>
    <row r="67" spans="1:91" s="933" customFormat="1" ht="13.5">
      <c r="A67" s="1242"/>
      <c r="B67" s="1242"/>
      <c r="C67" s="1242"/>
      <c r="D67" s="1242"/>
      <c r="E67" s="1242"/>
      <c r="F67" s="1242"/>
      <c r="G67" s="112"/>
      <c r="H67" s="112"/>
      <c r="I67" s="112"/>
      <c r="J67" s="1242"/>
      <c r="K67" s="1242"/>
      <c r="L67" s="112"/>
      <c r="M67" s="112"/>
      <c r="N67" s="112"/>
      <c r="O67" s="112"/>
      <c r="P67" s="1242"/>
      <c r="Q67" s="1242"/>
      <c r="R67" s="1242"/>
      <c r="S67" s="1242"/>
      <c r="T67" s="1242"/>
      <c r="U67" s="1242"/>
      <c r="V67" s="1242"/>
      <c r="W67" s="1242"/>
      <c r="X67" s="1242"/>
      <c r="Y67" s="1242"/>
      <c r="Z67" s="1242"/>
      <c r="AA67" s="1242"/>
      <c r="AB67" s="128"/>
      <c r="AC67" s="128"/>
      <c r="AD67" s="128"/>
      <c r="AE67" s="8"/>
      <c r="AF67" s="112"/>
      <c r="AG67" s="112"/>
      <c r="AH67" s="112"/>
      <c r="AI67" s="112"/>
      <c r="AJ67" s="112"/>
      <c r="AK67" s="1242"/>
      <c r="AL67" s="1242"/>
      <c r="AM67" s="1242"/>
      <c r="AN67" s="1242"/>
      <c r="AO67" s="1242"/>
      <c r="AP67" s="1242"/>
      <c r="AQ67" s="112"/>
      <c r="AR67" s="112"/>
      <c r="AS67" s="112"/>
      <c r="AT67" s="112"/>
      <c r="AU67" s="8"/>
      <c r="AV67" s="132"/>
      <c r="AW67" s="132"/>
      <c r="AX67" s="132"/>
      <c r="AY67" s="132"/>
      <c r="AZ67" s="8">
        <f t="shared" si="23"/>
        <v>55</v>
      </c>
      <c r="BA67" s="9" t="s">
        <v>1250</v>
      </c>
      <c r="BB67" s="151"/>
      <c r="BC67" s="424">
        <f>BB34+BB27+BB22+BB17+BB44+BB64</f>
        <v>174764195.75214231</v>
      </c>
      <c r="BD67" s="424">
        <f>BC34+BC27+BC22+BC17+BC44+BC64</f>
        <v>-3668300.4688374675</v>
      </c>
      <c r="BE67" s="112"/>
      <c r="BF67" s="112"/>
      <c r="BG67" s="112"/>
      <c r="BH67" s="112"/>
      <c r="BI67" s="112"/>
      <c r="BO67" s="1242"/>
      <c r="BP67" s="1242"/>
      <c r="BQ67" s="1242"/>
      <c r="BR67" s="1242"/>
      <c r="BS67" s="1242"/>
      <c r="BT67" s="1068"/>
      <c r="BU67" s="1068"/>
      <c r="BV67" s="1068"/>
      <c r="BW67" s="1068"/>
      <c r="BX67" s="1068"/>
      <c r="BY67" s="1068"/>
      <c r="BZ67" s="1068"/>
      <c r="CA67" s="1068"/>
      <c r="CB67" s="1068"/>
      <c r="CC67" s="1068"/>
      <c r="CD67" s="1068"/>
      <c r="CE67" s="1068"/>
      <c r="CF67" s="1068"/>
      <c r="CG67" s="1068"/>
      <c r="CH67" s="1068"/>
      <c r="CI67" s="1242"/>
      <c r="CJ67" s="109"/>
      <c r="CK67" s="109"/>
      <c r="CL67" s="109"/>
      <c r="CM67" s="109"/>
    </row>
    <row r="68" spans="1:91" s="933" customFormat="1" ht="13.5">
      <c r="A68" s="1242"/>
      <c r="B68" s="1242"/>
      <c r="C68" s="1242"/>
      <c r="D68" s="1242"/>
      <c r="E68" s="1242"/>
      <c r="F68" s="1242"/>
      <c r="G68" s="112"/>
      <c r="H68" s="112"/>
      <c r="I68" s="112"/>
      <c r="J68" s="1242"/>
      <c r="K68" s="1242"/>
      <c r="L68" s="112"/>
      <c r="M68" s="112"/>
      <c r="N68" s="112"/>
      <c r="O68" s="112"/>
      <c r="P68" s="1242"/>
      <c r="Q68" s="1242"/>
      <c r="R68" s="1242"/>
      <c r="S68" s="1242"/>
      <c r="T68" s="1242"/>
      <c r="U68" s="1242"/>
      <c r="V68" s="1242"/>
      <c r="W68" s="1242"/>
      <c r="X68" s="1242"/>
      <c r="Y68" s="1242"/>
      <c r="Z68" s="1242"/>
      <c r="AA68" s="1242"/>
      <c r="AB68" s="1242"/>
      <c r="AC68" s="1242"/>
      <c r="AD68" s="1242"/>
      <c r="AE68" s="8"/>
      <c r="AF68" s="112"/>
      <c r="AG68" s="112"/>
      <c r="AH68" s="112"/>
      <c r="AI68" s="112"/>
      <c r="AJ68" s="1242"/>
      <c r="AK68" s="1242"/>
      <c r="AL68" s="1242"/>
      <c r="AM68" s="1242"/>
      <c r="AN68" s="1242"/>
      <c r="AO68" s="1242"/>
      <c r="AP68" s="1242"/>
      <c r="AQ68" s="112"/>
      <c r="AR68" s="112"/>
      <c r="AS68" s="112"/>
      <c r="AT68" s="112"/>
      <c r="AU68" s="8"/>
      <c r="AV68" s="132"/>
      <c r="AW68" s="132"/>
      <c r="AX68" s="132"/>
      <c r="AY68" s="132"/>
      <c r="AZ68" s="8">
        <f t="shared" si="23"/>
        <v>56</v>
      </c>
      <c r="BA68" s="9" t="s">
        <v>869</v>
      </c>
      <c r="BB68" s="128"/>
      <c r="BC68" s="128"/>
      <c r="BD68" s="1095">
        <f>(+BD17+BD22+BD27+BD34+BD44+BD64)</f>
        <v>1398673.3576827715</v>
      </c>
      <c r="BE68" s="112"/>
      <c r="BF68" s="112"/>
      <c r="BG68" s="112"/>
      <c r="BH68" s="112"/>
      <c r="BI68" s="112"/>
      <c r="BO68" s="1242"/>
      <c r="BP68" s="1242"/>
      <c r="BQ68" s="1242"/>
      <c r="BR68" s="1242"/>
      <c r="BS68" s="1242"/>
      <c r="BT68" s="1068"/>
      <c r="BU68" s="1068"/>
      <c r="BV68" s="1068"/>
      <c r="BW68" s="1068"/>
      <c r="BX68" s="1068"/>
      <c r="BY68" s="1068"/>
      <c r="BZ68" s="1068"/>
      <c r="CA68" s="1068"/>
      <c r="CB68" s="1068"/>
      <c r="CC68" s="1068"/>
      <c r="CD68" s="1068"/>
      <c r="CE68" s="1068"/>
      <c r="CF68" s="1068"/>
      <c r="CG68" s="1068"/>
      <c r="CH68" s="1068"/>
      <c r="CI68" s="1242"/>
      <c r="CJ68" s="109"/>
      <c r="CK68" s="109"/>
      <c r="CL68" s="109"/>
      <c r="CM68" s="109"/>
    </row>
    <row r="69" spans="1:91" s="933" customFormat="1" ht="14.25" thickBot="1">
      <c r="A69" s="1242"/>
      <c r="B69" s="1242"/>
      <c r="C69" s="1242"/>
      <c r="D69" s="1242"/>
      <c r="E69" s="1242"/>
      <c r="F69" s="1242"/>
      <c r="G69" s="112"/>
      <c r="H69" s="112"/>
      <c r="I69" s="112"/>
      <c r="J69" s="1242"/>
      <c r="K69" s="1242"/>
      <c r="L69" s="112"/>
      <c r="M69" s="112"/>
      <c r="N69" s="112"/>
      <c r="O69" s="11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8"/>
      <c r="AF69" s="112"/>
      <c r="AG69" s="112"/>
      <c r="AH69" s="112"/>
      <c r="AI69" s="112"/>
      <c r="AJ69" s="1242"/>
      <c r="AK69" s="1242"/>
      <c r="AL69" s="1242"/>
      <c r="AM69" s="1242"/>
      <c r="AN69" s="1242"/>
      <c r="AO69" s="1242"/>
      <c r="AP69" s="1242"/>
      <c r="AQ69" s="112"/>
      <c r="AR69" s="112"/>
      <c r="AS69" s="112"/>
      <c r="AT69" s="112"/>
      <c r="AU69" s="8"/>
      <c r="AV69" s="1242"/>
      <c r="AW69" s="1242"/>
      <c r="AX69" s="1242"/>
      <c r="AY69" s="1242"/>
      <c r="AZ69" s="8">
        <f t="shared" si="23"/>
        <v>57</v>
      </c>
      <c r="BA69" s="9" t="s">
        <v>25</v>
      </c>
      <c r="BB69" s="128"/>
      <c r="BC69" s="128"/>
      <c r="BD69" s="1333">
        <f>-SUM(BD67:BD68)</f>
        <v>2269627.111154696</v>
      </c>
      <c r="BE69" s="112"/>
      <c r="BF69" s="112"/>
      <c r="BG69" s="112"/>
      <c r="BH69" s="112"/>
      <c r="BI69" s="112"/>
      <c r="BO69" s="1242"/>
      <c r="BP69" s="1242"/>
      <c r="BQ69" s="1242"/>
      <c r="BR69" s="1242"/>
      <c r="BS69" s="1242"/>
      <c r="BT69" s="1068"/>
      <c r="BU69" s="1068"/>
      <c r="BV69" s="1068"/>
      <c r="BW69" s="1068"/>
      <c r="BX69" s="1068"/>
      <c r="BY69" s="1068"/>
      <c r="BZ69" s="1068"/>
      <c r="CA69" s="1068"/>
      <c r="CB69" s="1068"/>
      <c r="CC69" s="1068"/>
      <c r="CD69" s="1068"/>
      <c r="CE69" s="1068"/>
      <c r="CF69" s="1068"/>
      <c r="CG69" s="1068"/>
      <c r="CH69" s="1068"/>
      <c r="CI69" s="1242"/>
      <c r="CJ69" s="109"/>
      <c r="CK69" s="109"/>
      <c r="CL69" s="109"/>
      <c r="CM69" s="109"/>
    </row>
    <row r="70" spans="1:91" s="933" customFormat="1" ht="13.5" thickTop="1">
      <c r="A70" s="1242"/>
      <c r="B70" s="1242"/>
      <c r="C70" s="1242"/>
      <c r="D70" s="1242"/>
      <c r="E70" s="1242"/>
      <c r="F70" s="1242"/>
      <c r="G70" s="112"/>
      <c r="H70" s="112"/>
      <c r="I70" s="112"/>
      <c r="J70" s="1242"/>
      <c r="K70" s="1242"/>
      <c r="L70" s="112"/>
      <c r="M70" s="112"/>
      <c r="N70" s="112"/>
      <c r="O70" s="112"/>
      <c r="P70" s="1242"/>
      <c r="Q70" s="1242"/>
      <c r="R70" s="1242"/>
      <c r="S70" s="1242"/>
      <c r="T70" s="1242"/>
      <c r="U70" s="1242"/>
      <c r="V70" s="1242"/>
      <c r="W70" s="1242"/>
      <c r="X70" s="1242"/>
      <c r="Y70" s="1242"/>
      <c r="Z70" s="1242"/>
      <c r="AA70" s="1242"/>
      <c r="AB70" s="1242"/>
      <c r="AC70" s="1242"/>
      <c r="AD70" s="1242"/>
      <c r="AE70" s="8"/>
      <c r="AF70" s="112"/>
      <c r="AG70" s="112"/>
      <c r="AH70" s="112"/>
      <c r="AI70" s="112"/>
      <c r="AJ70" s="1242"/>
      <c r="AK70" s="1242"/>
      <c r="AL70" s="1242"/>
      <c r="AM70" s="1242"/>
      <c r="AN70" s="1242"/>
      <c r="AO70" s="1242"/>
      <c r="AP70" s="1242"/>
      <c r="AQ70" s="112"/>
      <c r="AR70" s="112"/>
      <c r="AS70" s="112"/>
      <c r="AT70" s="112"/>
      <c r="AU70" s="8"/>
      <c r="AV70" s="132"/>
      <c r="AW70" s="132"/>
      <c r="AX70" s="132"/>
      <c r="AY70" s="132"/>
      <c r="AZ70" s="8">
        <f t="shared" si="23"/>
        <v>58</v>
      </c>
      <c r="BA70" s="1242"/>
      <c r="BB70" s="128"/>
      <c r="BC70" s="128"/>
      <c r="BD70" s="1242"/>
      <c r="BE70" s="112"/>
      <c r="BF70" s="112"/>
      <c r="BG70" s="112"/>
      <c r="BH70" s="112"/>
      <c r="BI70" s="112"/>
      <c r="BO70" s="1242"/>
      <c r="BP70" s="1242"/>
      <c r="BQ70" s="1242"/>
      <c r="BR70" s="1242"/>
      <c r="BS70" s="1242"/>
      <c r="BT70" s="1068"/>
      <c r="BU70" s="1068"/>
      <c r="BV70" s="1068"/>
      <c r="BW70" s="1068"/>
      <c r="BX70" s="1068"/>
      <c r="BY70" s="1068"/>
      <c r="BZ70" s="1068"/>
      <c r="CA70" s="1068"/>
      <c r="CB70" s="1068"/>
      <c r="CC70" s="1068"/>
      <c r="CD70" s="1068"/>
      <c r="CE70" s="1068"/>
      <c r="CF70" s="1068"/>
      <c r="CG70" s="1068"/>
      <c r="CH70" s="1068"/>
      <c r="CI70" s="1242"/>
      <c r="CJ70" s="109"/>
      <c r="CK70" s="109"/>
      <c r="CL70" s="109"/>
      <c r="CM70" s="109"/>
    </row>
    <row r="71" spans="1:91" s="933" customFormat="1">
      <c r="A71" s="1242"/>
      <c r="B71" s="1242"/>
      <c r="C71" s="1242"/>
      <c r="D71" s="1242"/>
      <c r="E71" s="1242"/>
      <c r="F71" s="1242"/>
      <c r="G71" s="112"/>
      <c r="H71" s="112"/>
      <c r="I71" s="112"/>
      <c r="J71" s="1242"/>
      <c r="K71" s="1242"/>
      <c r="L71" s="112"/>
      <c r="M71" s="112"/>
      <c r="N71" s="112"/>
      <c r="O71" s="112"/>
      <c r="P71" s="1242"/>
      <c r="Q71" s="1242"/>
      <c r="R71" s="1242"/>
      <c r="S71" s="1242"/>
      <c r="T71" s="1242"/>
      <c r="U71" s="1242"/>
      <c r="V71" s="1242"/>
      <c r="W71" s="1242"/>
      <c r="X71" s="1242"/>
      <c r="Y71" s="1242"/>
      <c r="Z71" s="1242"/>
      <c r="AA71" s="1242"/>
      <c r="AB71" s="1242"/>
      <c r="AC71" s="1242"/>
      <c r="AD71" s="1242"/>
      <c r="AE71" s="8"/>
      <c r="AF71" s="112"/>
      <c r="AG71" s="112"/>
      <c r="AH71" s="112"/>
      <c r="AI71" s="112"/>
      <c r="AJ71" s="132"/>
      <c r="AK71" s="1242"/>
      <c r="AL71" s="1242"/>
      <c r="AM71" s="1242"/>
      <c r="AN71" s="1242"/>
      <c r="AO71" s="1242"/>
      <c r="AP71" s="1242"/>
      <c r="AQ71" s="112"/>
      <c r="AR71" s="112"/>
      <c r="AS71" s="112"/>
      <c r="AT71" s="112"/>
      <c r="AU71" s="8"/>
      <c r="AV71" s="1242"/>
      <c r="AW71" s="1242"/>
      <c r="AX71" s="1242"/>
      <c r="AY71" s="1242"/>
      <c r="AZ71" s="8">
        <f t="shared" si="23"/>
        <v>59</v>
      </c>
      <c r="BA71" s="127" t="s">
        <v>609</v>
      </c>
      <c r="BB71" s="128"/>
      <c r="BC71" s="128"/>
      <c r="BD71" s="128"/>
      <c r="BE71" s="112"/>
      <c r="BF71" s="112"/>
      <c r="BG71" s="112"/>
      <c r="BH71" s="112"/>
      <c r="BI71" s="112"/>
      <c r="BO71" s="1242"/>
      <c r="BP71" s="1242"/>
      <c r="BQ71" s="1242"/>
      <c r="BR71" s="1242"/>
      <c r="BS71" s="1242"/>
      <c r="BT71" s="1068"/>
      <c r="BU71" s="1068"/>
      <c r="BV71" s="1068"/>
      <c r="BW71" s="1068"/>
      <c r="BX71" s="1068"/>
      <c r="BY71" s="1068"/>
      <c r="BZ71" s="1068"/>
      <c r="CA71" s="1068"/>
      <c r="CB71" s="1068"/>
      <c r="CC71" s="1068"/>
      <c r="CD71" s="1068"/>
      <c r="CE71" s="1068"/>
      <c r="CF71" s="1068"/>
      <c r="CG71" s="1068"/>
      <c r="CH71" s="1068"/>
      <c r="CI71" s="1242"/>
      <c r="CJ71" s="109"/>
      <c r="CK71" s="109"/>
      <c r="CL71" s="109"/>
      <c r="CM71" s="109"/>
    </row>
    <row r="72" spans="1:91" s="933" customFormat="1">
      <c r="A72" s="1242"/>
      <c r="B72" s="1242"/>
      <c r="C72" s="1242"/>
      <c r="D72" s="1242"/>
      <c r="E72" s="1242"/>
      <c r="F72" s="1242"/>
      <c r="G72" s="112"/>
      <c r="H72" s="112"/>
      <c r="I72" s="112"/>
      <c r="J72" s="1242"/>
      <c r="K72" s="1242"/>
      <c r="L72" s="112"/>
      <c r="M72" s="112"/>
      <c r="N72" s="112"/>
      <c r="O72" s="112"/>
      <c r="P72" s="1242"/>
      <c r="Q72" s="1242"/>
      <c r="R72" s="1242"/>
      <c r="S72" s="1242"/>
      <c r="T72" s="1242"/>
      <c r="U72" s="1242"/>
      <c r="V72" s="1242"/>
      <c r="W72" s="1242"/>
      <c r="X72" s="1242"/>
      <c r="Y72" s="1242"/>
      <c r="Z72" s="1242"/>
      <c r="AA72" s="1242"/>
      <c r="AB72" s="1242"/>
      <c r="AC72" s="1242"/>
      <c r="AD72" s="1242"/>
      <c r="AE72" s="9"/>
      <c r="AF72" s="1242"/>
      <c r="AG72" s="1242"/>
      <c r="AH72" s="1242"/>
      <c r="AI72" s="1242"/>
      <c r="AJ72" s="132"/>
      <c r="AK72" s="1242"/>
      <c r="AL72" s="1242"/>
      <c r="AM72" s="1242"/>
      <c r="AN72" s="1242"/>
      <c r="AO72" s="1242"/>
      <c r="AP72" s="1242"/>
      <c r="AQ72" s="112"/>
      <c r="AR72" s="112"/>
      <c r="AS72" s="112"/>
      <c r="AT72" s="112"/>
      <c r="AU72" s="8"/>
      <c r="AV72" s="139"/>
      <c r="AW72" s="139"/>
      <c r="AX72" s="139"/>
      <c r="AY72" s="139"/>
      <c r="AZ72" s="8">
        <f t="shared" si="23"/>
        <v>60</v>
      </c>
      <c r="BA72" s="9" t="s">
        <v>1125</v>
      </c>
      <c r="BB72" s="57">
        <f>'Prod Plant'!C49+J15+Y15</f>
        <v>3307889571.7574425</v>
      </c>
      <c r="BC72" s="129">
        <f t="shared" ref="BC72:BC79" si="24">-ROUND(BB72*$BC$11,0)</f>
        <v>-69432602</v>
      </c>
      <c r="BD72" s="128"/>
      <c r="BE72" s="112"/>
      <c r="BF72" s="112"/>
      <c r="BG72" s="112"/>
      <c r="BH72" s="112"/>
      <c r="BI72" s="112"/>
      <c r="BO72" s="1242"/>
      <c r="BP72" s="1242"/>
      <c r="BQ72" s="1242"/>
      <c r="BR72" s="1242"/>
      <c r="BS72" s="1242"/>
      <c r="BT72" s="1068"/>
      <c r="BU72" s="1068"/>
      <c r="BV72" s="1068"/>
      <c r="BW72" s="1068"/>
      <c r="BX72" s="1068"/>
      <c r="BY72" s="1068"/>
      <c r="BZ72" s="1068"/>
      <c r="CA72" s="1068"/>
      <c r="CB72" s="1068"/>
      <c r="CC72" s="1068"/>
      <c r="CD72" s="1068"/>
      <c r="CE72" s="1068"/>
      <c r="CF72" s="1068"/>
      <c r="CG72" s="1068"/>
      <c r="CH72" s="1068"/>
      <c r="CI72" s="1242"/>
      <c r="CJ72" s="109"/>
      <c r="CK72" s="109"/>
      <c r="CL72" s="109"/>
      <c r="CM72" s="109"/>
    </row>
    <row r="73" spans="1:91" s="933" customFormat="1">
      <c r="A73" s="1242"/>
      <c r="B73" s="1242"/>
      <c r="C73" s="1242"/>
      <c r="D73" s="1242"/>
      <c r="E73" s="1242"/>
      <c r="F73" s="1242"/>
      <c r="G73" s="112"/>
      <c r="H73" s="112"/>
      <c r="I73" s="112"/>
      <c r="J73" s="1242"/>
      <c r="K73" s="1242"/>
      <c r="L73" s="112"/>
      <c r="M73" s="112"/>
      <c r="N73" s="112"/>
      <c r="O73" s="112"/>
      <c r="P73" s="1242"/>
      <c r="Q73" s="1242"/>
      <c r="R73" s="1242"/>
      <c r="S73" s="1242"/>
      <c r="T73" s="1242"/>
      <c r="U73" s="1242"/>
      <c r="V73" s="1242"/>
      <c r="W73" s="1242"/>
      <c r="X73" s="1242"/>
      <c r="Y73" s="1242"/>
      <c r="Z73" s="1242"/>
      <c r="AA73" s="1242"/>
      <c r="AB73" s="1242"/>
      <c r="AC73" s="1242"/>
      <c r="AD73" s="1242"/>
      <c r="AE73" s="8"/>
      <c r="AF73" s="1242"/>
      <c r="AG73" s="1242"/>
      <c r="AH73" s="1242"/>
      <c r="AI73" s="1242"/>
      <c r="AJ73" s="132"/>
      <c r="AK73" s="1242"/>
      <c r="AL73" s="1242"/>
      <c r="AM73" s="1242"/>
      <c r="AN73" s="1242"/>
      <c r="AO73" s="1242"/>
      <c r="AP73" s="1242"/>
      <c r="AQ73" s="112"/>
      <c r="AR73" s="112"/>
      <c r="AS73" s="112"/>
      <c r="AT73" s="112"/>
      <c r="AU73" s="8"/>
      <c r="AV73" s="1242"/>
      <c r="AW73" s="1242"/>
      <c r="AX73" s="1242"/>
      <c r="AY73" s="1242"/>
      <c r="AZ73" s="8">
        <f t="shared" si="23"/>
        <v>61</v>
      </c>
      <c r="BA73" s="9" t="s">
        <v>1126</v>
      </c>
      <c r="BB73" s="99">
        <f>'Prod Plant'!E49+J16+Y16</f>
        <v>-1194219566.3108151</v>
      </c>
      <c r="BC73" s="151">
        <f t="shared" si="24"/>
        <v>25066669</v>
      </c>
      <c r="BD73" s="1242"/>
      <c r="BE73" s="112"/>
      <c r="BF73" s="112"/>
      <c r="BG73" s="112"/>
      <c r="BH73" s="112"/>
      <c r="BI73" s="112"/>
      <c r="BO73" s="1242"/>
      <c r="BP73" s="1242"/>
      <c r="BQ73" s="1242"/>
      <c r="BR73" s="1242"/>
      <c r="BS73" s="1242"/>
      <c r="BT73" s="1068"/>
      <c r="BU73" s="1068"/>
      <c r="BV73" s="1068"/>
      <c r="BW73" s="1068"/>
      <c r="BX73" s="1068"/>
      <c r="BY73" s="1068"/>
      <c r="BZ73" s="1068"/>
      <c r="CA73" s="1068"/>
      <c r="CB73" s="1068"/>
      <c r="CC73" s="1068"/>
      <c r="CD73" s="1068"/>
      <c r="CE73" s="1068"/>
      <c r="CF73" s="1068"/>
      <c r="CG73" s="1068"/>
      <c r="CH73" s="1068"/>
      <c r="CI73" s="1242"/>
      <c r="CJ73" s="109"/>
      <c r="CK73" s="109"/>
      <c r="CL73" s="109"/>
      <c r="CM73" s="109"/>
    </row>
    <row r="74" spans="1:91" s="933" customFormat="1">
      <c r="A74" s="1242"/>
      <c r="B74" s="1242"/>
      <c r="C74" s="1242"/>
      <c r="D74" s="1242"/>
      <c r="E74" s="1242"/>
      <c r="F74" s="1242"/>
      <c r="G74" s="112"/>
      <c r="H74" s="112"/>
      <c r="I74" s="112"/>
      <c r="J74" s="1242"/>
      <c r="K74" s="1242"/>
      <c r="L74" s="112"/>
      <c r="M74" s="112"/>
      <c r="N74" s="112"/>
      <c r="O74" s="112"/>
      <c r="P74" s="1242"/>
      <c r="Q74" s="1242"/>
      <c r="R74" s="1242"/>
      <c r="S74" s="1242"/>
      <c r="T74" s="1242"/>
      <c r="U74" s="1242"/>
      <c r="V74" s="1242"/>
      <c r="W74" s="1242"/>
      <c r="X74" s="1242"/>
      <c r="Y74" s="1242"/>
      <c r="Z74" s="1242"/>
      <c r="AA74" s="1242"/>
      <c r="AB74" s="1242"/>
      <c r="AC74" s="1242"/>
      <c r="AD74" s="1242"/>
      <c r="AE74" s="8"/>
      <c r="AF74" s="1242"/>
      <c r="AG74" s="1242"/>
      <c r="AH74" s="1242"/>
      <c r="AI74" s="1242"/>
      <c r="AJ74" s="132"/>
      <c r="AK74" s="1242"/>
      <c r="AL74" s="1242"/>
      <c r="AM74" s="1242"/>
      <c r="AN74" s="1242"/>
      <c r="AO74" s="1242"/>
      <c r="AP74" s="1242"/>
      <c r="AQ74" s="112"/>
      <c r="AR74" s="112"/>
      <c r="AS74" s="112"/>
      <c r="AT74" s="112"/>
      <c r="AU74" s="8"/>
      <c r="AV74" s="1242"/>
      <c r="AW74" s="1242"/>
      <c r="AX74" s="1242"/>
      <c r="AY74" s="1242"/>
      <c r="AZ74" s="8">
        <f t="shared" si="23"/>
        <v>62</v>
      </c>
      <c r="BA74" s="9" t="s">
        <v>291</v>
      </c>
      <c r="BB74" s="99">
        <f>'Prod Plant'!C61</f>
        <v>77287156</v>
      </c>
      <c r="BC74" s="151">
        <f t="shared" si="24"/>
        <v>-1622257</v>
      </c>
      <c r="BD74" s="1242"/>
      <c r="BE74" s="112"/>
      <c r="BF74" s="112"/>
      <c r="BG74" s="112"/>
      <c r="BH74" s="112"/>
      <c r="BI74" s="112"/>
      <c r="BO74" s="1242"/>
      <c r="BP74" s="1242"/>
      <c r="BQ74" s="1242"/>
      <c r="BR74" s="1242"/>
      <c r="BS74" s="1242"/>
      <c r="BT74" s="1068"/>
      <c r="BU74" s="1068"/>
      <c r="BV74" s="1068"/>
      <c r="BW74" s="1068"/>
      <c r="BX74" s="1068"/>
      <c r="BY74" s="1068"/>
      <c r="BZ74" s="1068"/>
      <c r="CA74" s="1068"/>
      <c r="CB74" s="1068"/>
      <c r="CC74" s="1068"/>
      <c r="CD74" s="1068"/>
      <c r="CE74" s="1068"/>
      <c r="CF74" s="1068"/>
      <c r="CG74" s="1068"/>
      <c r="CH74" s="1068"/>
      <c r="CI74" s="1242"/>
      <c r="CJ74" s="109"/>
      <c r="CK74" s="109"/>
      <c r="CL74" s="109"/>
      <c r="CM74" s="109"/>
    </row>
    <row r="75" spans="1:91" s="933" customFormat="1">
      <c r="A75" s="1242"/>
      <c r="B75" s="1242"/>
      <c r="C75" s="1242"/>
      <c r="D75" s="1242"/>
      <c r="E75" s="1242"/>
      <c r="F75" s="1242"/>
      <c r="G75" s="112"/>
      <c r="H75" s="112"/>
      <c r="I75" s="112"/>
      <c r="J75" s="1242"/>
      <c r="K75" s="1242"/>
      <c r="L75" s="112"/>
      <c r="M75" s="112"/>
      <c r="N75" s="112"/>
      <c r="O75" s="112"/>
      <c r="P75" s="1242"/>
      <c r="Q75" s="1242"/>
      <c r="R75" s="1242"/>
      <c r="S75" s="1242"/>
      <c r="T75" s="1242"/>
      <c r="U75" s="1242"/>
      <c r="V75" s="1242"/>
      <c r="W75" s="1242"/>
      <c r="X75" s="1242"/>
      <c r="Y75" s="1242"/>
      <c r="Z75" s="1242"/>
      <c r="AA75" s="1242"/>
      <c r="AB75" s="1242"/>
      <c r="AC75" s="1242"/>
      <c r="AD75" s="1242"/>
      <c r="AE75" s="8"/>
      <c r="AF75" s="1242"/>
      <c r="AG75" s="1242"/>
      <c r="AH75" s="1242"/>
      <c r="AI75" s="1242"/>
      <c r="AJ75" s="132"/>
      <c r="AK75" s="1242"/>
      <c r="AL75" s="1242"/>
      <c r="AM75" s="1242"/>
      <c r="AN75" s="1242"/>
      <c r="AO75" s="1242"/>
      <c r="AP75" s="1242"/>
      <c r="AQ75" s="112"/>
      <c r="AR75" s="112"/>
      <c r="AS75" s="112"/>
      <c r="AT75" s="112"/>
      <c r="AU75" s="8"/>
      <c r="AV75" s="1242"/>
      <c r="AW75" s="1242"/>
      <c r="AX75" s="1242"/>
      <c r="AY75" s="1242"/>
      <c r="AZ75" s="8">
        <f t="shared" si="23"/>
        <v>63</v>
      </c>
      <c r="BA75" s="9" t="s">
        <v>1127</v>
      </c>
      <c r="BB75" s="99">
        <f>'Prod Plant'!E61+'Prod Plant'!E76</f>
        <v>-4080190</v>
      </c>
      <c r="BC75" s="151">
        <f t="shared" si="24"/>
        <v>85643</v>
      </c>
      <c r="BD75" s="1242"/>
      <c r="BE75" s="112"/>
      <c r="BF75" s="112"/>
      <c r="BG75" s="112"/>
      <c r="BH75" s="112"/>
      <c r="BI75" s="112"/>
      <c r="BO75" s="1242"/>
      <c r="BP75" s="1242"/>
      <c r="BQ75" s="1242"/>
      <c r="BR75" s="1242"/>
      <c r="BS75" s="1242"/>
      <c r="BT75" s="1068"/>
      <c r="BU75" s="1068"/>
      <c r="BV75" s="1068"/>
      <c r="BW75" s="1068"/>
      <c r="BX75" s="1068"/>
      <c r="BY75" s="1068"/>
      <c r="BZ75" s="1068"/>
      <c r="CA75" s="1068"/>
      <c r="CB75" s="1068"/>
      <c r="CC75" s="1068"/>
      <c r="CD75" s="1068"/>
      <c r="CE75" s="1068"/>
      <c r="CF75" s="1068"/>
      <c r="CG75" s="1068"/>
      <c r="CH75" s="1068"/>
      <c r="CI75" s="1242"/>
      <c r="CJ75" s="109"/>
      <c r="CK75" s="109"/>
      <c r="CL75" s="109"/>
      <c r="CM75" s="109"/>
    </row>
    <row r="76" spans="1:91" s="933" customFormat="1">
      <c r="A76" s="1242"/>
      <c r="B76" s="1242"/>
      <c r="C76" s="1242"/>
      <c r="D76" s="1242"/>
      <c r="E76" s="1242"/>
      <c r="F76" s="1242"/>
      <c r="G76" s="112"/>
      <c r="H76" s="112"/>
      <c r="I76" s="112"/>
      <c r="J76" s="1242"/>
      <c r="K76" s="1242"/>
      <c r="L76" s="112"/>
      <c r="M76" s="112"/>
      <c r="N76" s="112"/>
      <c r="O76" s="112"/>
      <c r="P76" s="1242"/>
      <c r="Q76" s="1242"/>
      <c r="R76" s="1242"/>
      <c r="S76" s="1242"/>
      <c r="T76" s="1242"/>
      <c r="U76" s="1242"/>
      <c r="V76" s="1242"/>
      <c r="W76" s="1242"/>
      <c r="X76" s="1242"/>
      <c r="Y76" s="1242"/>
      <c r="Z76" s="1242"/>
      <c r="AA76" s="1242"/>
      <c r="AB76" s="1242"/>
      <c r="AC76" s="1242"/>
      <c r="AD76" s="1242"/>
      <c r="AE76" s="8"/>
      <c r="AF76" s="1242"/>
      <c r="AG76" s="1242"/>
      <c r="AH76" s="1242"/>
      <c r="AI76" s="1242"/>
      <c r="AJ76" s="132"/>
      <c r="AK76" s="1242"/>
      <c r="AL76" s="1242"/>
      <c r="AM76" s="1242"/>
      <c r="AN76" s="1242"/>
      <c r="AO76" s="1242"/>
      <c r="AP76" s="1242"/>
      <c r="AQ76" s="112"/>
      <c r="AR76" s="112"/>
      <c r="AS76" s="112"/>
      <c r="AT76" s="112"/>
      <c r="AU76" s="8"/>
      <c r="AV76" s="1242"/>
      <c r="AW76" s="1242"/>
      <c r="AX76" s="1242"/>
      <c r="AY76" s="1242"/>
      <c r="AZ76" s="8">
        <f t="shared" si="23"/>
        <v>64</v>
      </c>
      <c r="BA76" s="9" t="s">
        <v>1268</v>
      </c>
      <c r="BB76" s="55">
        <v>4947628</v>
      </c>
      <c r="BC76" s="128">
        <f t="shared" si="24"/>
        <v>-103851</v>
      </c>
      <c r="BD76" s="128"/>
      <c r="BE76" s="112"/>
      <c r="BF76" s="112"/>
      <c r="BG76" s="112"/>
      <c r="BH76" s="112"/>
      <c r="BI76" s="112"/>
      <c r="BO76" s="1242"/>
      <c r="BP76" s="1242"/>
      <c r="BQ76" s="1242"/>
      <c r="BR76" s="1242"/>
      <c r="BS76" s="1242"/>
      <c r="BT76" s="1068"/>
      <c r="BU76" s="1068"/>
      <c r="BV76" s="1068"/>
      <c r="BW76" s="1068"/>
      <c r="BX76" s="1068"/>
      <c r="BY76" s="1068"/>
      <c r="BZ76" s="1068"/>
      <c r="CA76" s="1068"/>
      <c r="CB76" s="1068"/>
      <c r="CC76" s="1068"/>
      <c r="CD76" s="1068"/>
      <c r="CE76" s="1068"/>
      <c r="CF76" s="1068"/>
      <c r="CG76" s="1068"/>
      <c r="CH76" s="1068"/>
      <c r="CI76" s="1242"/>
      <c r="CJ76" s="109"/>
      <c r="CK76" s="109"/>
      <c r="CL76" s="109"/>
      <c r="CM76" s="109"/>
    </row>
    <row r="77" spans="1:91" s="933" customFormat="1">
      <c r="A77" s="1242"/>
      <c r="B77" s="1242"/>
      <c r="C77" s="1242"/>
      <c r="D77" s="1242"/>
      <c r="E77" s="1242"/>
      <c r="F77" s="1242"/>
      <c r="G77" s="112"/>
      <c r="H77" s="112"/>
      <c r="I77" s="112"/>
      <c r="J77" s="1242"/>
      <c r="K77" s="1242"/>
      <c r="L77" s="112"/>
      <c r="M77" s="112"/>
      <c r="N77" s="112"/>
      <c r="O77" s="112"/>
      <c r="P77" s="1242"/>
      <c r="Q77" s="1242"/>
      <c r="R77" s="1242"/>
      <c r="S77" s="1242"/>
      <c r="T77" s="1242"/>
      <c r="U77" s="1242"/>
      <c r="V77" s="1242"/>
      <c r="W77" s="1242"/>
      <c r="X77" s="1242"/>
      <c r="Y77" s="1242"/>
      <c r="Z77" s="1242"/>
      <c r="AA77" s="1242"/>
      <c r="AB77" s="1242"/>
      <c r="AC77" s="1242"/>
      <c r="AD77" s="1242"/>
      <c r="AE77" s="8"/>
      <c r="AF77" s="1242"/>
      <c r="AG77" s="1242"/>
      <c r="AH77" s="1242"/>
      <c r="AI77" s="1242"/>
      <c r="AJ77" s="132"/>
      <c r="AK77" s="1242"/>
      <c r="AL77" s="1242"/>
      <c r="AM77" s="1242"/>
      <c r="AN77" s="1242"/>
      <c r="AO77" s="1242"/>
      <c r="AP77" s="1242"/>
      <c r="AQ77" s="112"/>
      <c r="AR77" s="112"/>
      <c r="AS77" s="112"/>
      <c r="AT77" s="112"/>
      <c r="AU77" s="8"/>
      <c r="AV77" s="1242"/>
      <c r="AW77" s="1242"/>
      <c r="AX77" s="1242"/>
      <c r="AY77" s="1242"/>
      <c r="AZ77" s="8">
        <f t="shared" si="23"/>
        <v>65</v>
      </c>
      <c r="BA77" s="9" t="s">
        <v>1269</v>
      </c>
      <c r="BB77" s="55">
        <v>1458712</v>
      </c>
      <c r="BC77" s="128">
        <f t="shared" si="24"/>
        <v>-30618</v>
      </c>
      <c r="BD77" s="128"/>
      <c r="BE77" s="112"/>
      <c r="BF77" s="112"/>
      <c r="BG77" s="112"/>
      <c r="BH77" s="112"/>
      <c r="BI77" s="112"/>
      <c r="BO77" s="1242"/>
      <c r="BP77" s="1242"/>
      <c r="BQ77" s="1242"/>
      <c r="BR77" s="1242"/>
      <c r="BS77" s="1242"/>
      <c r="BT77" s="1068"/>
      <c r="BU77" s="1068"/>
      <c r="BV77" s="1068"/>
      <c r="BW77" s="1068"/>
      <c r="BX77" s="1068"/>
      <c r="BY77" s="1068"/>
      <c r="BZ77" s="1068"/>
      <c r="CA77" s="1068"/>
      <c r="CB77" s="1068"/>
      <c r="CC77" s="1068"/>
      <c r="CD77" s="1068"/>
      <c r="CE77" s="1068"/>
      <c r="CF77" s="1068"/>
      <c r="CG77" s="1068"/>
      <c r="CH77" s="1068"/>
      <c r="CI77" s="1242"/>
      <c r="CJ77" s="109"/>
      <c r="CK77" s="109"/>
      <c r="CL77" s="109"/>
      <c r="CM77" s="109"/>
    </row>
    <row r="78" spans="1:91" s="933" customFormat="1">
      <c r="A78" s="1242"/>
      <c r="B78" s="1242"/>
      <c r="C78" s="1242"/>
      <c r="D78" s="1242"/>
      <c r="E78" s="1242"/>
      <c r="F78" s="1242"/>
      <c r="G78" s="112"/>
      <c r="H78" s="112"/>
      <c r="I78" s="112"/>
      <c r="J78" s="1242"/>
      <c r="K78" s="1242"/>
      <c r="L78" s="112"/>
      <c r="M78" s="112"/>
      <c r="N78" s="112"/>
      <c r="O78" s="112"/>
      <c r="P78" s="1242"/>
      <c r="Q78" s="1242"/>
      <c r="R78" s="1242"/>
      <c r="S78" s="1242"/>
      <c r="T78" s="1242"/>
      <c r="U78" s="1242"/>
      <c r="V78" s="1242"/>
      <c r="W78" s="1242"/>
      <c r="X78" s="1242"/>
      <c r="Y78" s="1242"/>
      <c r="Z78" s="1242"/>
      <c r="AA78" s="1242"/>
      <c r="AB78" s="1242"/>
      <c r="AC78" s="1242"/>
      <c r="AD78" s="1242"/>
      <c r="AE78" s="8"/>
      <c r="AF78" s="1242"/>
      <c r="AG78" s="1242"/>
      <c r="AH78" s="1242"/>
      <c r="AI78" s="1242"/>
      <c r="AJ78" s="1242"/>
      <c r="AK78" s="1242"/>
      <c r="AL78" s="1242"/>
      <c r="AM78" s="1242"/>
      <c r="AN78" s="1242"/>
      <c r="AO78" s="1242"/>
      <c r="AP78" s="1242"/>
      <c r="AQ78" s="112"/>
      <c r="AR78" s="112"/>
      <c r="AS78" s="112"/>
      <c r="AT78" s="112"/>
      <c r="AU78" s="8"/>
      <c r="AV78" s="1242"/>
      <c r="AW78" s="1242"/>
      <c r="AX78" s="1242"/>
      <c r="AY78" s="1242" t="s">
        <v>939</v>
      </c>
      <c r="AZ78" s="8">
        <f t="shared" si="23"/>
        <v>66</v>
      </c>
      <c r="BA78" s="9" t="s">
        <v>964</v>
      </c>
      <c r="BB78" s="55">
        <v>250524822.23208329</v>
      </c>
      <c r="BC78" s="151">
        <f t="shared" si="24"/>
        <v>-5258516</v>
      </c>
      <c r="BD78" s="151"/>
      <c r="BE78" s="112"/>
      <c r="BF78" s="112"/>
      <c r="BG78" s="112"/>
      <c r="BH78" s="112"/>
      <c r="BI78" s="112"/>
      <c r="BO78" s="1242"/>
      <c r="BP78" s="1242"/>
      <c r="BQ78" s="1242"/>
      <c r="BR78" s="1242"/>
      <c r="BS78" s="1242"/>
      <c r="BT78" s="1068"/>
      <c r="BU78" s="1068"/>
      <c r="BV78" s="1068"/>
      <c r="BW78" s="1068"/>
      <c r="BX78" s="1068"/>
      <c r="BY78" s="1068"/>
      <c r="BZ78" s="1068"/>
      <c r="CA78" s="1068"/>
      <c r="CB78" s="1068"/>
      <c r="CC78" s="1068"/>
      <c r="CD78" s="1068"/>
      <c r="CE78" s="1068"/>
      <c r="CF78" s="1068"/>
      <c r="CG78" s="1068"/>
      <c r="CH78" s="1068"/>
      <c r="CI78" s="1242"/>
      <c r="CJ78" s="109"/>
      <c r="CK78" s="109"/>
      <c r="CL78" s="109"/>
      <c r="CM78" s="109"/>
    </row>
    <row r="79" spans="1:91" s="933" customFormat="1">
      <c r="A79" s="1242"/>
      <c r="B79" s="1242"/>
      <c r="C79" s="1242"/>
      <c r="D79" s="1242"/>
      <c r="E79" s="1242"/>
      <c r="F79" s="1242"/>
      <c r="G79" s="112"/>
      <c r="H79" s="112"/>
      <c r="I79" s="112"/>
      <c r="J79" s="1242"/>
      <c r="K79" s="1242"/>
      <c r="L79" s="112"/>
      <c r="M79" s="112"/>
      <c r="N79" s="112"/>
      <c r="O79" s="112"/>
      <c r="P79" s="1242"/>
      <c r="Q79" s="1242"/>
      <c r="R79" s="1242"/>
      <c r="S79" s="1242"/>
      <c r="T79" s="1242"/>
      <c r="U79" s="1242"/>
      <c r="V79" s="1242"/>
      <c r="W79" s="1242"/>
      <c r="X79" s="1242"/>
      <c r="Y79" s="1242"/>
      <c r="Z79" s="1242"/>
      <c r="AA79" s="1242"/>
      <c r="AB79" s="1242"/>
      <c r="AC79" s="1242"/>
      <c r="AD79" s="1242"/>
      <c r="AE79" s="8"/>
      <c r="AF79" s="1242"/>
      <c r="AG79" s="1242"/>
      <c r="AH79" s="1242"/>
      <c r="AI79" s="1242"/>
      <c r="AJ79" s="1242"/>
      <c r="AK79" s="1242"/>
      <c r="AL79" s="1242"/>
      <c r="AM79" s="1242"/>
      <c r="AN79" s="1242"/>
      <c r="AO79" s="1242"/>
      <c r="AP79" s="1242"/>
      <c r="AQ79" s="112"/>
      <c r="AR79" s="112"/>
      <c r="AS79" s="112"/>
      <c r="AT79" s="112"/>
      <c r="AU79" s="8"/>
      <c r="AV79" s="1242"/>
      <c r="AW79" s="1242"/>
      <c r="AX79" s="1242"/>
      <c r="AY79" s="1242"/>
      <c r="AZ79" s="8">
        <f t="shared" si="23"/>
        <v>67</v>
      </c>
      <c r="BA79" s="9" t="s">
        <v>38</v>
      </c>
      <c r="BB79" s="55">
        <v>-54306612</v>
      </c>
      <c r="BC79" s="151">
        <f t="shared" si="24"/>
        <v>1139896</v>
      </c>
      <c r="BD79" s="151"/>
      <c r="BE79" s="112"/>
      <c r="BF79" s="112"/>
      <c r="BG79" s="112"/>
      <c r="BH79" s="112"/>
      <c r="BI79" s="112"/>
      <c r="BO79" s="1242"/>
      <c r="BP79" s="1242"/>
      <c r="BQ79" s="1242"/>
      <c r="BR79" s="1242"/>
      <c r="BS79" s="1242"/>
      <c r="BT79" s="1068"/>
      <c r="BU79" s="1068"/>
      <c r="BV79" s="1068"/>
      <c r="BW79" s="1068"/>
      <c r="BX79" s="1068"/>
      <c r="BY79" s="1068"/>
      <c r="BZ79" s="1068"/>
      <c r="CA79" s="1068"/>
      <c r="CB79" s="1068"/>
      <c r="CC79" s="1068"/>
      <c r="CD79" s="1068"/>
      <c r="CE79" s="1068"/>
      <c r="CF79" s="1068"/>
      <c r="CG79" s="1068"/>
      <c r="CH79" s="1068"/>
      <c r="CI79" s="1242"/>
      <c r="CJ79" s="109"/>
      <c r="CK79" s="109"/>
      <c r="CL79" s="109"/>
      <c r="CM79" s="109"/>
    </row>
    <row r="80" spans="1:91" s="933" customFormat="1">
      <c r="A80" s="1242"/>
      <c r="B80" s="1242"/>
      <c r="C80" s="1242"/>
      <c r="D80" s="1242"/>
      <c r="E80" s="1242"/>
      <c r="F80" s="1242"/>
      <c r="G80" s="112"/>
      <c r="H80" s="112"/>
      <c r="I80" s="112"/>
      <c r="J80" s="1242"/>
      <c r="K80" s="1242"/>
      <c r="L80" s="112"/>
      <c r="M80" s="112"/>
      <c r="N80" s="112"/>
      <c r="O80" s="112"/>
      <c r="P80" s="1242"/>
      <c r="Q80" s="1242"/>
      <c r="R80" s="1242"/>
      <c r="S80" s="1242"/>
      <c r="T80" s="1242"/>
      <c r="U80" s="1242"/>
      <c r="V80" s="1242"/>
      <c r="W80" s="1242"/>
      <c r="X80" s="1242"/>
      <c r="Y80" s="1242"/>
      <c r="Z80" s="1242"/>
      <c r="AA80" s="1242"/>
      <c r="AB80" s="1242"/>
      <c r="AC80" s="1242"/>
      <c r="AD80" s="1242"/>
      <c r="AE80" s="8"/>
      <c r="AF80" s="1242"/>
      <c r="AG80" s="1242"/>
      <c r="AH80" s="1242"/>
      <c r="AI80" s="1242"/>
      <c r="AJ80" s="1242"/>
      <c r="AK80" s="1242"/>
      <c r="AL80" s="1242"/>
      <c r="AM80" s="1242"/>
      <c r="AN80" s="1242"/>
      <c r="AO80" s="1242"/>
      <c r="AP80" s="1242"/>
      <c r="AQ80" s="112"/>
      <c r="AR80" s="112"/>
      <c r="AS80" s="112"/>
      <c r="AT80" s="112"/>
      <c r="AU80" s="8"/>
      <c r="AV80" s="1242"/>
      <c r="AW80" s="1242"/>
      <c r="AX80" s="1242"/>
      <c r="AY80" s="1242"/>
      <c r="AZ80" s="8">
        <f t="shared" si="23"/>
        <v>68</v>
      </c>
      <c r="BA80" s="1242" t="s">
        <v>51</v>
      </c>
      <c r="BB80" s="1322">
        <f>SUM(BB72:BB79)</f>
        <v>2389501521.6787109</v>
      </c>
      <c r="BC80" s="1322">
        <f>SUM(BC72:BC79)</f>
        <v>-50155636</v>
      </c>
      <c r="BD80" s="151"/>
      <c r="BE80" s="112"/>
      <c r="BF80" s="112"/>
      <c r="BG80" s="112"/>
      <c r="BH80" s="112"/>
      <c r="BI80" s="112"/>
      <c r="BO80" s="1242"/>
      <c r="BP80" s="1242"/>
      <c r="BQ80" s="1242"/>
      <c r="BR80" s="1242"/>
      <c r="BS80" s="1242"/>
      <c r="BT80" s="1068"/>
      <c r="BU80" s="1068"/>
      <c r="BV80" s="1068"/>
      <c r="BW80" s="1068"/>
      <c r="BX80" s="1068"/>
      <c r="BY80" s="1068"/>
      <c r="BZ80" s="1068"/>
      <c r="CA80" s="1068"/>
      <c r="CB80" s="1068"/>
      <c r="CC80" s="1068"/>
      <c r="CD80" s="1068"/>
      <c r="CE80" s="1068"/>
      <c r="CF80" s="1068"/>
      <c r="CG80" s="1068"/>
      <c r="CH80" s="1068"/>
      <c r="CI80" s="1242"/>
      <c r="CJ80" s="109"/>
      <c r="CK80" s="109"/>
      <c r="CL80" s="109"/>
      <c r="CM80" s="109"/>
    </row>
    <row r="81" spans="1:91" s="933" customFormat="1">
      <c r="A81" s="1242"/>
      <c r="B81" s="1242"/>
      <c r="C81" s="1242"/>
      <c r="D81" s="1242"/>
      <c r="E81" s="1242"/>
      <c r="F81" s="1242"/>
      <c r="G81" s="112"/>
      <c r="H81" s="112"/>
      <c r="I81" s="112"/>
      <c r="J81" s="1242"/>
      <c r="K81" s="1242"/>
      <c r="L81" s="112"/>
      <c r="M81" s="112"/>
      <c r="N81" s="112"/>
      <c r="O81" s="112"/>
      <c r="P81" s="1242"/>
      <c r="Q81" s="1242"/>
      <c r="R81" s="1242"/>
      <c r="S81" s="1242"/>
      <c r="T81" s="1242"/>
      <c r="U81" s="1242"/>
      <c r="V81" s="1242"/>
      <c r="W81" s="1242"/>
      <c r="X81" s="1242"/>
      <c r="Y81" s="1242"/>
      <c r="Z81" s="1242"/>
      <c r="AA81" s="1242"/>
      <c r="AB81" s="1242"/>
      <c r="AC81" s="1242"/>
      <c r="AD81" s="1242"/>
      <c r="AE81" s="8"/>
      <c r="AF81" s="1242"/>
      <c r="AG81" s="1242"/>
      <c r="AH81" s="1242"/>
      <c r="AI81" s="1242"/>
      <c r="AJ81" s="1242"/>
      <c r="AK81" s="1242"/>
      <c r="AL81" s="1242"/>
      <c r="AM81" s="1242"/>
      <c r="AN81" s="1242"/>
      <c r="AO81" s="1242"/>
      <c r="AP81" s="1242"/>
      <c r="AQ81" s="112"/>
      <c r="AR81" s="112"/>
      <c r="AS81" s="112"/>
      <c r="AT81" s="112"/>
      <c r="AU81" s="8"/>
      <c r="AV81" s="1242"/>
      <c r="AW81" s="1242"/>
      <c r="AX81" s="1242"/>
      <c r="AY81" s="1242"/>
      <c r="AZ81" s="8">
        <f t="shared" si="23"/>
        <v>69</v>
      </c>
      <c r="BA81" s="1242"/>
      <c r="BB81" s="99"/>
      <c r="BC81" s="727"/>
      <c r="BD81" s="151"/>
      <c r="BE81" s="112"/>
      <c r="BF81" s="112"/>
      <c r="BG81" s="112"/>
      <c r="BH81" s="112"/>
      <c r="BI81" s="112"/>
      <c r="BO81" s="1242"/>
      <c r="BP81" s="1242"/>
      <c r="BQ81" s="1242"/>
      <c r="BR81" s="1242"/>
      <c r="BS81" s="1242"/>
      <c r="BT81" s="1068"/>
      <c r="BU81" s="1068"/>
      <c r="BV81" s="1068"/>
      <c r="BW81" s="1068"/>
      <c r="BX81" s="1068"/>
      <c r="BY81" s="1068"/>
      <c r="BZ81" s="1068"/>
      <c r="CA81" s="1068"/>
      <c r="CB81" s="1068"/>
      <c r="CC81" s="1068"/>
      <c r="CD81" s="1068"/>
      <c r="CE81" s="1068"/>
      <c r="CF81" s="1068"/>
      <c r="CG81" s="1068"/>
      <c r="CH81" s="1068"/>
      <c r="CI81" s="1242"/>
      <c r="CJ81" s="109"/>
      <c r="CK81" s="109"/>
      <c r="CL81" s="109"/>
      <c r="CM81" s="109"/>
    </row>
    <row r="82" spans="1:91" s="933" customFormat="1">
      <c r="A82" s="1242"/>
      <c r="B82" s="1242"/>
      <c r="C82" s="1242"/>
      <c r="D82" s="1242"/>
      <c r="E82" s="1242"/>
      <c r="F82" s="1242"/>
      <c r="G82" s="112"/>
      <c r="H82" s="112"/>
      <c r="I82" s="112"/>
      <c r="J82" s="1242"/>
      <c r="K82" s="1242"/>
      <c r="L82" s="112"/>
      <c r="M82" s="112"/>
      <c r="N82" s="112"/>
      <c r="O82" s="112"/>
      <c r="P82" s="1242"/>
      <c r="Q82" s="1242"/>
      <c r="R82" s="1242"/>
      <c r="S82" s="1242"/>
      <c r="T82" s="1242"/>
      <c r="U82" s="1242"/>
      <c r="V82" s="1242"/>
      <c r="W82" s="1242"/>
      <c r="X82" s="1242"/>
      <c r="Y82" s="1242"/>
      <c r="Z82" s="1242"/>
      <c r="AA82" s="1242"/>
      <c r="AB82" s="1242"/>
      <c r="AC82" s="1242"/>
      <c r="AD82" s="1242"/>
      <c r="AE82" s="1242"/>
      <c r="AF82" s="1242"/>
      <c r="AG82" s="1242"/>
      <c r="AH82" s="1242"/>
      <c r="AI82" s="1242"/>
      <c r="AJ82" s="1242"/>
      <c r="AK82" s="1242"/>
      <c r="AL82" s="1242"/>
      <c r="AM82" s="1242"/>
      <c r="AN82" s="1242"/>
      <c r="AO82" s="1242"/>
      <c r="AP82" s="1242"/>
      <c r="AQ82" s="112"/>
      <c r="AR82" s="112"/>
      <c r="AS82" s="112"/>
      <c r="AT82" s="112"/>
      <c r="AU82" s="8"/>
      <c r="AV82" s="1242"/>
      <c r="AW82" s="1242"/>
      <c r="AX82" s="1242"/>
      <c r="AY82" s="1242"/>
      <c r="AZ82" s="8">
        <f t="shared" si="23"/>
        <v>70</v>
      </c>
      <c r="BA82" s="9" t="s">
        <v>596</v>
      </c>
      <c r="BB82" s="55">
        <f>-248409806+J17+Y17</f>
        <v>-326649309.44521308</v>
      </c>
      <c r="BC82" s="128">
        <f>-ROUND(BB82*$BC$11,0)</f>
        <v>6856369</v>
      </c>
      <c r="BD82" s="151"/>
      <c r="BE82" s="112"/>
      <c r="BF82" s="112"/>
      <c r="BG82" s="112"/>
      <c r="BH82" s="112"/>
      <c r="BI82" s="112"/>
      <c r="BO82" s="1242"/>
      <c r="BP82" s="1242"/>
      <c r="BQ82" s="1242"/>
      <c r="BR82" s="1242"/>
      <c r="BS82" s="1242"/>
      <c r="BT82" s="1068"/>
      <c r="BU82" s="1068"/>
      <c r="BV82" s="1068"/>
      <c r="BW82" s="1068"/>
      <c r="BX82" s="1068"/>
      <c r="BY82" s="1068"/>
      <c r="BZ82" s="1068"/>
      <c r="CA82" s="1068"/>
      <c r="CB82" s="1068"/>
      <c r="CC82" s="1068"/>
      <c r="CD82" s="1068"/>
      <c r="CE82" s="1068"/>
      <c r="CF82" s="1068"/>
      <c r="CG82" s="1068"/>
      <c r="CH82" s="1068"/>
      <c r="CI82" s="1242"/>
      <c r="CJ82" s="109"/>
      <c r="CK82" s="109"/>
      <c r="CL82" s="109"/>
      <c r="CM82" s="109"/>
    </row>
    <row r="83" spans="1:91" s="933" customFormat="1">
      <c r="A83" s="1242"/>
      <c r="B83" s="1242"/>
      <c r="C83" s="1242"/>
      <c r="D83" s="1242"/>
      <c r="E83" s="1242"/>
      <c r="F83" s="1242"/>
      <c r="G83" s="112"/>
      <c r="H83" s="112"/>
      <c r="I83" s="112"/>
      <c r="J83" s="1242"/>
      <c r="K83" s="1242"/>
      <c r="L83" s="112"/>
      <c r="M83" s="112"/>
      <c r="N83" s="112"/>
      <c r="O83" s="11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2"/>
      <c r="AB83" s="1242"/>
      <c r="AC83" s="1242"/>
      <c r="AD83" s="1242"/>
      <c r="AE83" s="1242"/>
      <c r="AF83" s="1242"/>
      <c r="AG83" s="1242"/>
      <c r="AH83" s="1242"/>
      <c r="AI83" s="1242"/>
      <c r="AJ83" s="1242"/>
      <c r="AK83" s="1242"/>
      <c r="AL83" s="1242"/>
      <c r="AM83" s="1242"/>
      <c r="AN83" s="1242"/>
      <c r="AO83" s="1242"/>
      <c r="AP83" s="1242"/>
      <c r="AQ83" s="112"/>
      <c r="AR83" s="112"/>
      <c r="AS83" s="112"/>
      <c r="AT83" s="112"/>
      <c r="AU83" s="8"/>
      <c r="AV83" s="1242"/>
      <c r="AW83" s="1242"/>
      <c r="AX83" s="1242"/>
      <c r="AY83" s="1242"/>
      <c r="AZ83" s="8">
        <f t="shared" si="23"/>
        <v>71</v>
      </c>
      <c r="BA83" s="9" t="s">
        <v>1128</v>
      </c>
      <c r="BB83" s="55">
        <v>6328940</v>
      </c>
      <c r="BC83" s="128">
        <f>-ROUND(BB83*$BC$11,0)</f>
        <v>-132844</v>
      </c>
      <c r="BD83" s="151"/>
      <c r="BE83" s="112"/>
      <c r="BF83" s="1242"/>
      <c r="BG83" s="112"/>
      <c r="BH83" s="112"/>
      <c r="BI83" s="112"/>
      <c r="BO83" s="1242"/>
      <c r="BP83" s="1242"/>
      <c r="BQ83" s="1242"/>
      <c r="BR83" s="1242"/>
      <c r="BS83" s="1242"/>
      <c r="BT83" s="1068"/>
      <c r="BU83" s="1068"/>
      <c r="BV83" s="1068"/>
      <c r="BW83" s="1068"/>
      <c r="BX83" s="1068"/>
      <c r="BY83" s="1068"/>
      <c r="BZ83" s="1068"/>
      <c r="CA83" s="1068"/>
      <c r="CB83" s="1068"/>
      <c r="CC83" s="1068"/>
      <c r="CD83" s="1068"/>
      <c r="CE83" s="1068"/>
      <c r="CF83" s="1068"/>
      <c r="CG83" s="1068"/>
      <c r="CH83" s="1068"/>
      <c r="CI83" s="1242"/>
      <c r="CJ83" s="109"/>
      <c r="CK83" s="109"/>
      <c r="CL83" s="109"/>
      <c r="CM83" s="109"/>
    </row>
    <row r="84" spans="1:91" s="933" customFormat="1">
      <c r="A84" s="1242"/>
      <c r="B84" s="1242"/>
      <c r="C84" s="1242"/>
      <c r="D84" s="1242"/>
      <c r="E84" s="1242"/>
      <c r="F84" s="1242"/>
      <c r="G84" s="112"/>
      <c r="H84" s="112"/>
      <c r="I84" s="112"/>
      <c r="J84" s="1242"/>
      <c r="K84" s="1242"/>
      <c r="L84" s="112"/>
      <c r="M84" s="112"/>
      <c r="N84" s="112"/>
      <c r="O84" s="112"/>
      <c r="P84" s="1242"/>
      <c r="Q84" s="1242"/>
      <c r="R84" s="1242"/>
      <c r="S84" s="1242"/>
      <c r="T84" s="1242"/>
      <c r="U84" s="1242"/>
      <c r="V84" s="1242"/>
      <c r="W84" s="1242"/>
      <c r="X84" s="1242"/>
      <c r="Y84" s="1242"/>
      <c r="Z84" s="1242"/>
      <c r="AA84" s="1242"/>
      <c r="AB84" s="1242"/>
      <c r="AC84" s="1242"/>
      <c r="AD84" s="1242"/>
      <c r="AE84" s="1242"/>
      <c r="AF84" s="1242"/>
      <c r="AG84" s="1242"/>
      <c r="AH84" s="1242"/>
      <c r="AI84" s="1242"/>
      <c r="AJ84" s="1242"/>
      <c r="AK84" s="1242"/>
      <c r="AL84" s="1242"/>
      <c r="AM84" s="1242"/>
      <c r="AN84" s="1242"/>
      <c r="AO84" s="1242"/>
      <c r="AP84" s="1242"/>
      <c r="AQ84" s="112"/>
      <c r="AR84" s="112"/>
      <c r="AS84" s="112"/>
      <c r="AT84" s="112"/>
      <c r="AU84" s="1242"/>
      <c r="AV84" s="132"/>
      <c r="AW84" s="132"/>
      <c r="AX84" s="132"/>
      <c r="AY84" s="132"/>
      <c r="AZ84" s="8">
        <f t="shared" si="23"/>
        <v>72</v>
      </c>
      <c r="BA84" s="9" t="s">
        <v>1171</v>
      </c>
      <c r="BB84" s="1328">
        <f>SUM(BB82:BB83)</f>
        <v>-320320369.44521308</v>
      </c>
      <c r="BC84" s="1328">
        <f>SUM(BC82:BC83)</f>
        <v>6723525</v>
      </c>
      <c r="BD84" s="151"/>
      <c r="BE84" s="112"/>
      <c r="BF84" s="1242"/>
      <c r="BG84" s="112"/>
      <c r="BH84" s="112"/>
      <c r="BI84" s="112"/>
      <c r="BO84" s="1242"/>
      <c r="BP84" s="1242"/>
      <c r="BQ84" s="1242"/>
      <c r="BR84" s="1242"/>
      <c r="BS84" s="1242"/>
      <c r="BT84" s="1068"/>
      <c r="BU84" s="1068"/>
      <c r="BV84" s="1068"/>
      <c r="BW84" s="1068"/>
      <c r="BX84" s="1068"/>
      <c r="BY84" s="1068"/>
      <c r="BZ84" s="1068"/>
      <c r="CA84" s="1068"/>
      <c r="CB84" s="1068"/>
      <c r="CC84" s="1068"/>
      <c r="CD84" s="1068"/>
      <c r="CE84" s="1068"/>
      <c r="CF84" s="1068"/>
      <c r="CG84" s="1068"/>
      <c r="CH84" s="1068"/>
      <c r="CI84" s="1242"/>
      <c r="CJ84" s="109"/>
      <c r="CK84" s="109"/>
      <c r="CL84" s="109"/>
      <c r="CM84" s="109"/>
    </row>
    <row r="85" spans="1:91" s="933" customFormat="1">
      <c r="A85" s="1242"/>
      <c r="B85" s="1242"/>
      <c r="C85" s="1242"/>
      <c r="D85" s="1242"/>
      <c r="E85" s="1242"/>
      <c r="F85" s="1242"/>
      <c r="G85" s="112"/>
      <c r="H85" s="112"/>
      <c r="I85" s="112"/>
      <c r="J85" s="1242"/>
      <c r="K85" s="1242"/>
      <c r="L85" s="112"/>
      <c r="M85" s="112"/>
      <c r="N85" s="112"/>
      <c r="O85" s="112"/>
      <c r="P85" s="1242"/>
      <c r="Q85" s="1242"/>
      <c r="R85" s="1242"/>
      <c r="S85" s="1242"/>
      <c r="T85" s="1242"/>
      <c r="U85" s="1242"/>
      <c r="V85" s="1242"/>
      <c r="W85" s="1242"/>
      <c r="X85" s="1242"/>
      <c r="Y85" s="1242"/>
      <c r="Z85" s="1242"/>
      <c r="AA85" s="1242"/>
      <c r="AB85" s="1242"/>
      <c r="AC85" s="1242"/>
      <c r="AD85" s="1242"/>
      <c r="AE85" s="1242"/>
      <c r="AF85" s="1242"/>
      <c r="AG85" s="1242"/>
      <c r="AH85" s="1242"/>
      <c r="AI85" s="1242"/>
      <c r="AJ85" s="1242"/>
      <c r="AK85" s="1242"/>
      <c r="AL85" s="1242"/>
      <c r="AM85" s="1242"/>
      <c r="AN85" s="1242"/>
      <c r="AO85" s="1242"/>
      <c r="AP85" s="1242"/>
      <c r="AQ85" s="112"/>
      <c r="AR85" s="112"/>
      <c r="AS85" s="112"/>
      <c r="AT85" s="112"/>
      <c r="AU85" s="1242"/>
      <c r="AV85" s="132"/>
      <c r="AW85" s="132"/>
      <c r="AX85" s="132"/>
      <c r="AY85" s="132"/>
      <c r="AZ85" s="8">
        <f t="shared" si="23"/>
        <v>73</v>
      </c>
      <c r="BA85" s="9"/>
      <c r="BB85" s="1322"/>
      <c r="BC85" s="1328">
        <f>-ROUND(BB85*$BC$11,0)</f>
        <v>0</v>
      </c>
      <c r="BD85" s="151"/>
      <c r="BE85" s="112"/>
      <c r="BF85" s="1242"/>
      <c r="BG85" s="112"/>
      <c r="BH85" s="112"/>
      <c r="BI85" s="112"/>
      <c r="BO85" s="1242"/>
      <c r="BP85" s="1242"/>
      <c r="BQ85" s="1242"/>
      <c r="BR85" s="1242"/>
      <c r="BS85" s="1242"/>
      <c r="BT85" s="1068"/>
      <c r="BU85" s="1068"/>
      <c r="BV85" s="1068"/>
      <c r="BW85" s="1068"/>
      <c r="BX85" s="1068"/>
      <c r="BY85" s="1068"/>
      <c r="BZ85" s="1068"/>
      <c r="CA85" s="1068"/>
      <c r="CB85" s="1068"/>
      <c r="CC85" s="1068"/>
      <c r="CD85" s="1068"/>
      <c r="CE85" s="1068"/>
      <c r="CF85" s="1068"/>
      <c r="CG85" s="1068"/>
      <c r="CH85" s="1068"/>
      <c r="CI85" s="1242"/>
      <c r="CJ85" s="109"/>
      <c r="CK85" s="109"/>
      <c r="CL85" s="109"/>
      <c r="CM85" s="109"/>
    </row>
    <row r="86" spans="1:91" s="933" customFormat="1" ht="13.5" thickBot="1">
      <c r="A86" s="1242"/>
      <c r="B86" s="1242"/>
      <c r="C86" s="1242"/>
      <c r="D86" s="1242"/>
      <c r="E86" s="1242"/>
      <c r="F86" s="1242"/>
      <c r="G86" s="112"/>
      <c r="H86" s="112"/>
      <c r="I86" s="112"/>
      <c r="J86" s="1242"/>
      <c r="K86" s="1242"/>
      <c r="L86" s="112"/>
      <c r="M86" s="112"/>
      <c r="N86" s="112"/>
      <c r="O86" s="112"/>
      <c r="P86" s="1242"/>
      <c r="Q86" s="1242"/>
      <c r="R86" s="1242"/>
      <c r="S86" s="1242"/>
      <c r="T86" s="1242"/>
      <c r="U86" s="1242"/>
      <c r="V86" s="1242"/>
      <c r="W86" s="1242"/>
      <c r="X86" s="1242"/>
      <c r="Y86" s="1242"/>
      <c r="Z86" s="1242"/>
      <c r="AA86" s="1242"/>
      <c r="AB86" s="1242"/>
      <c r="AC86" s="1242"/>
      <c r="AD86" s="1242"/>
      <c r="AE86" s="1242"/>
      <c r="AF86" s="1242"/>
      <c r="AG86" s="1242"/>
      <c r="AH86" s="1242"/>
      <c r="AI86" s="1242"/>
      <c r="AJ86" s="1242"/>
      <c r="AK86" s="1242"/>
      <c r="AL86" s="1242"/>
      <c r="AM86" s="1242"/>
      <c r="AN86" s="1242"/>
      <c r="AO86" s="1242"/>
      <c r="AP86" s="1242"/>
      <c r="AQ86" s="112"/>
      <c r="AR86" s="112"/>
      <c r="AS86" s="112"/>
      <c r="AT86" s="112"/>
      <c r="AU86" s="1242"/>
      <c r="AV86" s="132"/>
      <c r="AW86" s="132"/>
      <c r="AX86" s="132"/>
      <c r="AY86" s="1242"/>
      <c r="AZ86" s="8">
        <f t="shared" si="23"/>
        <v>74</v>
      </c>
      <c r="BA86" s="9" t="s">
        <v>1129</v>
      </c>
      <c r="BB86" s="437">
        <f>BB80+BB84+BB85</f>
        <v>2069181152.2334979</v>
      </c>
      <c r="BC86" s="437">
        <f>BC80+BC84+BC85</f>
        <v>-43432111</v>
      </c>
      <c r="BD86" s="437">
        <f>SUM(BB86:BC86)</f>
        <v>2025749041.2334979</v>
      </c>
      <c r="BE86" s="112"/>
      <c r="BF86" s="112"/>
      <c r="BG86" s="112"/>
      <c r="BH86" s="112"/>
      <c r="BI86" s="112"/>
      <c r="BO86" s="1242"/>
      <c r="BP86" s="1242"/>
      <c r="BQ86" s="1242"/>
      <c r="BR86" s="1242"/>
      <c r="BS86" s="1242"/>
      <c r="BT86" s="1068"/>
      <c r="BU86" s="1068"/>
      <c r="BV86" s="1068"/>
      <c r="BW86" s="1068"/>
      <c r="BX86" s="1068"/>
      <c r="BY86" s="1068"/>
      <c r="BZ86" s="1068"/>
      <c r="CA86" s="1068"/>
      <c r="CB86" s="1068"/>
      <c r="CC86" s="1068"/>
      <c r="CD86" s="1068"/>
      <c r="CE86" s="1068"/>
      <c r="CF86" s="1068"/>
      <c r="CG86" s="1068"/>
      <c r="CH86" s="1068"/>
      <c r="CI86" s="1242"/>
      <c r="CJ86" s="109"/>
      <c r="CK86" s="109"/>
      <c r="CL86" s="109"/>
      <c r="CM86" s="109"/>
    </row>
    <row r="87" spans="1:91" s="933" customFormat="1" ht="13.5" thickTop="1">
      <c r="A87" s="1242"/>
      <c r="B87" s="1242"/>
      <c r="C87" s="1242"/>
      <c r="D87" s="1242"/>
      <c r="E87" s="1242"/>
      <c r="F87" s="1242"/>
      <c r="G87" s="112"/>
      <c r="H87" s="112"/>
      <c r="I87" s="112"/>
      <c r="J87" s="1242"/>
      <c r="K87" s="1242"/>
      <c r="L87" s="112"/>
      <c r="M87" s="112"/>
      <c r="N87" s="112"/>
      <c r="O87" s="112"/>
      <c r="P87" s="1242"/>
      <c r="Q87" s="1242"/>
      <c r="R87" s="1242"/>
      <c r="S87" s="1242"/>
      <c r="T87" s="1242"/>
      <c r="U87" s="1242"/>
      <c r="V87" s="1242"/>
      <c r="W87" s="1242"/>
      <c r="X87" s="1242"/>
      <c r="Y87" s="1242"/>
      <c r="Z87" s="1242"/>
      <c r="AA87" s="1242"/>
      <c r="AB87" s="1242"/>
      <c r="AC87" s="1242"/>
      <c r="AD87" s="1242"/>
      <c r="AE87" s="1242"/>
      <c r="AF87" s="1242"/>
      <c r="AG87" s="1242"/>
      <c r="AH87" s="1242"/>
      <c r="AI87" s="1242"/>
      <c r="AJ87" s="1242"/>
      <c r="AK87" s="1242"/>
      <c r="AL87" s="1242"/>
      <c r="AM87" s="1242"/>
      <c r="AN87" s="1242"/>
      <c r="AO87" s="1242"/>
      <c r="AP87" s="1242"/>
      <c r="AQ87" s="112"/>
      <c r="AR87" s="112"/>
      <c r="AS87" s="112"/>
      <c r="AT87" s="112"/>
      <c r="AU87" s="1242"/>
      <c r="AV87" s="132"/>
      <c r="AW87" s="132"/>
      <c r="AX87" s="132"/>
      <c r="AY87" s="36"/>
      <c r="AZ87" s="8">
        <f t="shared" si="23"/>
        <v>75</v>
      </c>
      <c r="BA87" s="1242"/>
      <c r="BB87" s="1328"/>
      <c r="BC87" s="1362"/>
      <c r="BD87" s="151"/>
      <c r="BE87" s="112"/>
      <c r="BF87" s="112"/>
      <c r="BG87" s="112"/>
      <c r="BH87" s="112"/>
      <c r="BI87" s="112"/>
      <c r="BO87" s="1242"/>
      <c r="BP87" s="1242"/>
      <c r="BQ87" s="1242"/>
      <c r="BR87" s="1242"/>
      <c r="BS87" s="1242"/>
      <c r="BT87" s="1068"/>
      <c r="BU87" s="1068"/>
      <c r="BV87" s="1068"/>
      <c r="BW87" s="1068"/>
      <c r="BX87" s="1068"/>
      <c r="BY87" s="1068"/>
      <c r="BZ87" s="1068"/>
      <c r="CA87" s="1068"/>
      <c r="CB87" s="1068"/>
      <c r="CC87" s="1068"/>
      <c r="CD87" s="1068"/>
      <c r="CE87" s="1068"/>
      <c r="CF87" s="1068"/>
      <c r="CG87" s="1068"/>
      <c r="CH87" s="1068"/>
      <c r="CI87" s="1242"/>
      <c r="CJ87" s="109"/>
      <c r="CK87" s="109"/>
      <c r="CL87" s="109"/>
      <c r="CM87" s="109"/>
    </row>
    <row r="88" spans="1:91" s="933" customFormat="1">
      <c r="A88" s="1242"/>
      <c r="B88" s="1242"/>
      <c r="C88" s="1242"/>
      <c r="D88" s="1242"/>
      <c r="E88" s="1242"/>
      <c r="F88" s="1242"/>
      <c r="G88" s="112"/>
      <c r="H88" s="112"/>
      <c r="I88" s="112"/>
      <c r="J88" s="1242"/>
      <c r="K88" s="1242"/>
      <c r="L88" s="112"/>
      <c r="M88" s="112"/>
      <c r="N88" s="112"/>
      <c r="O88" s="112"/>
      <c r="P88" s="1242"/>
      <c r="Q88" s="1242"/>
      <c r="R88" s="1242"/>
      <c r="S88" s="1242"/>
      <c r="T88" s="1242"/>
      <c r="U88" s="1242"/>
      <c r="V88" s="1242"/>
      <c r="W88" s="1242"/>
      <c r="X88" s="1242"/>
      <c r="Y88" s="1242"/>
      <c r="Z88" s="1242"/>
      <c r="AA88" s="1242"/>
      <c r="AB88" s="1242"/>
      <c r="AC88" s="1242"/>
      <c r="AD88" s="1242"/>
      <c r="AE88" s="1242"/>
      <c r="AF88" s="1242"/>
      <c r="AG88" s="1242"/>
      <c r="AH88" s="1242"/>
      <c r="AI88" s="1242"/>
      <c r="AJ88" s="1242"/>
      <c r="AK88" s="1242"/>
      <c r="AL88" s="1242"/>
      <c r="AM88" s="1242"/>
      <c r="AN88" s="1242"/>
      <c r="AO88" s="1242"/>
      <c r="AP88" s="1242"/>
      <c r="AQ88" s="112"/>
      <c r="AR88" s="112"/>
      <c r="AS88" s="112"/>
      <c r="AT88" s="112"/>
      <c r="AU88" s="1242"/>
      <c r="AV88" s="132"/>
      <c r="AW88" s="132"/>
      <c r="AX88" s="132"/>
      <c r="AY88" s="132"/>
      <c r="AZ88" s="8">
        <f t="shared" si="23"/>
        <v>76</v>
      </c>
      <c r="BA88" s="127" t="s">
        <v>1270</v>
      </c>
      <c r="BB88" s="151"/>
      <c r="BC88" s="151"/>
      <c r="BD88" s="151"/>
      <c r="BE88" s="112"/>
      <c r="BF88" s="112"/>
      <c r="BG88" s="112"/>
      <c r="BH88" s="112"/>
      <c r="BI88" s="112"/>
      <c r="BO88" s="1242"/>
      <c r="BP88" s="1242"/>
      <c r="BQ88" s="1242"/>
      <c r="BR88" s="1242"/>
      <c r="BS88" s="1242"/>
      <c r="BT88" s="1068"/>
      <c r="BU88" s="1068"/>
      <c r="BV88" s="1068"/>
      <c r="BW88" s="1068"/>
      <c r="BX88" s="1068"/>
      <c r="BY88" s="1068"/>
      <c r="BZ88" s="1068"/>
      <c r="CA88" s="1068"/>
      <c r="CB88" s="1068"/>
      <c r="CC88" s="1068"/>
      <c r="CD88" s="1068"/>
      <c r="CE88" s="1068"/>
      <c r="CF88" s="1068"/>
      <c r="CG88" s="1068"/>
      <c r="CH88" s="1068"/>
      <c r="CI88" s="1242"/>
      <c r="CJ88" s="109"/>
      <c r="CK88" s="109"/>
      <c r="CL88" s="109"/>
      <c r="CM88" s="109"/>
    </row>
    <row r="89" spans="1:91" s="933" customFormat="1">
      <c r="A89" s="1242"/>
      <c r="B89" s="1242"/>
      <c r="C89" s="1242"/>
      <c r="D89" s="1242"/>
      <c r="E89" s="1242"/>
      <c r="F89" s="1242"/>
      <c r="G89" s="112"/>
      <c r="H89" s="112"/>
      <c r="I89" s="112"/>
      <c r="J89" s="1242"/>
      <c r="K89" s="1242"/>
      <c r="L89" s="112"/>
      <c r="M89" s="112"/>
      <c r="N89" s="112"/>
      <c r="O89" s="112"/>
      <c r="P89" s="1242"/>
      <c r="Q89" s="1242"/>
      <c r="R89" s="1242"/>
      <c r="S89" s="1242"/>
      <c r="T89" s="1242"/>
      <c r="U89" s="1242"/>
      <c r="V89" s="1242"/>
      <c r="W89" s="1242"/>
      <c r="X89" s="1242"/>
      <c r="Y89" s="1242"/>
      <c r="Z89" s="1242"/>
      <c r="AA89" s="1242"/>
      <c r="AB89" s="1242"/>
      <c r="AC89" s="1242"/>
      <c r="AD89" s="1242"/>
      <c r="AE89" s="1242"/>
      <c r="AF89" s="1242"/>
      <c r="AG89" s="1242"/>
      <c r="AH89" s="1242"/>
      <c r="AI89" s="1242"/>
      <c r="AJ89" s="1242"/>
      <c r="AK89" s="1242"/>
      <c r="AL89" s="1242"/>
      <c r="AM89" s="1242"/>
      <c r="AN89" s="1242"/>
      <c r="AO89" s="1242"/>
      <c r="AP89" s="1242"/>
      <c r="AQ89" s="112"/>
      <c r="AR89" s="112"/>
      <c r="AS89" s="112"/>
      <c r="AT89" s="112"/>
      <c r="AU89" s="1242"/>
      <c r="AV89" s="132"/>
      <c r="AW89" s="132"/>
      <c r="AX89" s="132"/>
      <c r="AY89" s="132"/>
      <c r="AZ89" s="8">
        <f t="shared" si="23"/>
        <v>77</v>
      </c>
      <c r="BA89" s="9" t="s">
        <v>825</v>
      </c>
      <c r="BB89" s="736">
        <f>AX14</f>
        <v>11214773.00999999</v>
      </c>
      <c r="BC89" s="129">
        <f t="shared" ref="BC89:BC104" si="25">-ROUND(BB89*$BC$11,0)</f>
        <v>-235398</v>
      </c>
      <c r="BD89" s="128"/>
      <c r="BE89" s="112"/>
      <c r="BF89" s="112"/>
      <c r="BG89" s="112"/>
      <c r="BH89" s="112"/>
      <c r="BI89" s="112"/>
      <c r="BO89" s="1242"/>
      <c r="BP89" s="1242"/>
      <c r="BQ89" s="1242"/>
      <c r="BR89" s="1242"/>
      <c r="BS89" s="1242"/>
      <c r="BT89" s="1068"/>
      <c r="BU89" s="1068"/>
      <c r="BV89" s="1068"/>
      <c r="BW89" s="1068"/>
      <c r="BX89" s="1068"/>
      <c r="BY89" s="1068"/>
      <c r="BZ89" s="1068"/>
      <c r="CA89" s="1068"/>
      <c r="CB89" s="1068"/>
      <c r="CC89" s="1068"/>
      <c r="CD89" s="1068"/>
      <c r="CE89" s="1068"/>
      <c r="CF89" s="1068"/>
      <c r="CG89" s="1068"/>
      <c r="CH89" s="1068"/>
      <c r="CI89" s="1242"/>
      <c r="CJ89" s="109"/>
      <c r="CK89" s="109"/>
      <c r="CL89" s="109"/>
      <c r="CM89" s="109"/>
    </row>
    <row r="90" spans="1:91" s="933" customFormat="1">
      <c r="A90" s="1242"/>
      <c r="B90" s="1242"/>
      <c r="C90" s="1242"/>
      <c r="D90" s="1242"/>
      <c r="E90" s="1242"/>
      <c r="F90" s="1242"/>
      <c r="G90" s="112"/>
      <c r="H90" s="112"/>
      <c r="I90" s="112"/>
      <c r="J90" s="1242"/>
      <c r="K90" s="1242"/>
      <c r="L90" s="112"/>
      <c r="M90" s="112"/>
      <c r="N90" s="112"/>
      <c r="O90" s="112"/>
      <c r="P90" s="1242"/>
      <c r="Q90" s="1242"/>
      <c r="R90" s="1242"/>
      <c r="S90" s="1242"/>
      <c r="T90" s="1242"/>
      <c r="U90" s="1242"/>
      <c r="V90" s="1242"/>
      <c r="W90" s="1242"/>
      <c r="X90" s="1242"/>
      <c r="Y90" s="1242"/>
      <c r="Z90" s="1242"/>
      <c r="AA90" s="1242"/>
      <c r="AB90" s="1242"/>
      <c r="AC90" s="1242"/>
      <c r="AD90" s="1242"/>
      <c r="AE90" s="1242"/>
      <c r="AF90" s="1242"/>
      <c r="AG90" s="1242"/>
      <c r="AH90" s="1242"/>
      <c r="AI90" s="1242"/>
      <c r="AJ90" s="1242"/>
      <c r="AK90" s="1242"/>
      <c r="AL90" s="1242"/>
      <c r="AM90" s="1242"/>
      <c r="AN90" s="1242"/>
      <c r="AO90" s="1242"/>
      <c r="AP90" s="1242"/>
      <c r="AQ90" s="112"/>
      <c r="AR90" s="112"/>
      <c r="AS90" s="112"/>
      <c r="AT90" s="112"/>
      <c r="AU90" s="1242"/>
      <c r="AV90" s="132"/>
      <c r="AW90" s="132"/>
      <c r="AX90" s="132"/>
      <c r="AY90" s="132"/>
      <c r="AZ90" s="8">
        <f t="shared" si="23"/>
        <v>78</v>
      </c>
      <c r="BA90" s="9" t="s">
        <v>161</v>
      </c>
      <c r="BB90" s="745">
        <f>AX15</f>
        <v>34565277.373377569</v>
      </c>
      <c r="BC90" s="128">
        <f t="shared" si="25"/>
        <v>-725525</v>
      </c>
      <c r="BD90" s="128"/>
      <c r="BE90" s="112"/>
      <c r="BF90" s="112"/>
      <c r="BG90" s="112"/>
      <c r="BH90" s="112"/>
      <c r="BI90" s="112"/>
      <c r="BO90" s="1242"/>
      <c r="BP90" s="1242"/>
      <c r="BQ90" s="1242"/>
      <c r="BR90" s="1242"/>
      <c r="BS90" s="1242"/>
      <c r="BT90" s="1068"/>
      <c r="BU90" s="1068"/>
      <c r="BV90" s="1068"/>
      <c r="BW90" s="1068"/>
      <c r="BX90" s="1068"/>
      <c r="BY90" s="1068"/>
      <c r="BZ90" s="1068"/>
      <c r="CA90" s="1068"/>
      <c r="CB90" s="1068"/>
      <c r="CC90" s="1068"/>
      <c r="CD90" s="1068"/>
      <c r="CE90" s="1068"/>
      <c r="CF90" s="1068"/>
      <c r="CG90" s="1068"/>
      <c r="CH90" s="1068"/>
      <c r="CI90" s="1242"/>
      <c r="CJ90" s="109"/>
      <c r="CK90" s="109"/>
      <c r="CL90" s="109"/>
      <c r="CM90" s="109"/>
    </row>
    <row r="91" spans="1:91" s="933" customFormat="1">
      <c r="A91" s="1242"/>
      <c r="B91" s="1242"/>
      <c r="C91" s="1242"/>
      <c r="D91" s="1242"/>
      <c r="E91" s="1242"/>
      <c r="F91" s="1242"/>
      <c r="G91" s="112"/>
      <c r="H91" s="112"/>
      <c r="I91" s="112"/>
      <c r="J91" s="1242"/>
      <c r="K91" s="1242"/>
      <c r="L91" s="112"/>
      <c r="M91" s="112"/>
      <c r="N91" s="112"/>
      <c r="O91" s="112"/>
      <c r="P91" s="1242"/>
      <c r="Q91" s="1242"/>
      <c r="R91" s="1242"/>
      <c r="S91" s="1242"/>
      <c r="T91" s="1242"/>
      <c r="U91" s="1242"/>
      <c r="V91" s="1242"/>
      <c r="W91" s="1242"/>
      <c r="X91" s="1242"/>
      <c r="Y91" s="1242"/>
      <c r="Z91" s="1242"/>
      <c r="AA91" s="1242"/>
      <c r="AB91" s="1242"/>
      <c r="AC91" s="1242"/>
      <c r="AD91" s="1242"/>
      <c r="AE91" s="1242"/>
      <c r="AF91" s="1242"/>
      <c r="AG91" s="1242"/>
      <c r="AH91" s="1242"/>
      <c r="AI91" s="1242"/>
      <c r="AJ91" s="1242"/>
      <c r="AK91" s="1242"/>
      <c r="AL91" s="1242"/>
      <c r="AM91" s="1242"/>
      <c r="AN91" s="1242"/>
      <c r="AO91" s="1242"/>
      <c r="AP91" s="1242"/>
      <c r="AQ91" s="112"/>
      <c r="AR91" s="112"/>
      <c r="AS91" s="112"/>
      <c r="AT91" s="112"/>
      <c r="AU91" s="1242"/>
      <c r="AV91" s="1242"/>
      <c r="AW91" s="1242"/>
      <c r="AX91" s="1242"/>
      <c r="AY91" s="1242"/>
      <c r="AZ91" s="8">
        <f t="shared" si="23"/>
        <v>79</v>
      </c>
      <c r="BA91" s="9" t="s">
        <v>545</v>
      </c>
      <c r="BB91" s="745">
        <f>AX16</f>
        <v>24941806.739999998</v>
      </c>
      <c r="BC91" s="128">
        <f t="shared" si="25"/>
        <v>-523529</v>
      </c>
      <c r="BD91" s="128"/>
      <c r="BE91" s="112"/>
      <c r="BF91" s="112"/>
      <c r="BG91" s="112"/>
      <c r="BH91" s="112"/>
      <c r="BI91" s="112"/>
      <c r="BO91" s="1242"/>
      <c r="BP91" s="1242"/>
      <c r="BQ91" s="1242"/>
      <c r="BR91" s="1242"/>
      <c r="BS91" s="1242"/>
      <c r="BT91" s="1068"/>
      <c r="BU91" s="1068"/>
      <c r="BV91" s="1068"/>
      <c r="BW91" s="1068"/>
      <c r="BX91" s="1068"/>
      <c r="BY91" s="1068"/>
      <c r="BZ91" s="1068"/>
      <c r="CA91" s="1068"/>
      <c r="CB91" s="1068"/>
      <c r="CC91" s="1068"/>
      <c r="CD91" s="1068"/>
      <c r="CE91" s="1068"/>
      <c r="CF91" s="1068"/>
      <c r="CG91" s="1068"/>
      <c r="CH91" s="1068"/>
      <c r="CI91" s="1242"/>
      <c r="CJ91" s="109"/>
      <c r="CK91" s="109"/>
      <c r="CL91" s="109"/>
      <c r="CM91" s="109"/>
    </row>
    <row r="92" spans="1:91" s="933" customFormat="1">
      <c r="A92" s="1242"/>
      <c r="B92" s="1242"/>
      <c r="C92" s="1242"/>
      <c r="D92" s="1242"/>
      <c r="E92" s="1242"/>
      <c r="F92" s="1242"/>
      <c r="G92" s="112"/>
      <c r="H92" s="112"/>
      <c r="I92" s="112"/>
      <c r="J92" s="1242"/>
      <c r="K92" s="1242"/>
      <c r="L92" s="112"/>
      <c r="M92" s="112"/>
      <c r="N92" s="112"/>
      <c r="O92" s="11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2"/>
      <c r="AB92" s="1242"/>
      <c r="AC92" s="1242"/>
      <c r="AD92" s="1242"/>
      <c r="AE92" s="1242"/>
      <c r="AF92" s="1242"/>
      <c r="AG92" s="1242"/>
      <c r="AH92" s="1242"/>
      <c r="AI92" s="1242"/>
      <c r="AJ92" s="1242"/>
      <c r="AK92" s="1242"/>
      <c r="AL92" s="1242"/>
      <c r="AM92" s="1242"/>
      <c r="AN92" s="1242"/>
      <c r="AO92" s="1242"/>
      <c r="AP92" s="1242"/>
      <c r="AQ92" s="112"/>
      <c r="AR92" s="112"/>
      <c r="AS92" s="112"/>
      <c r="AT92" s="112"/>
      <c r="AU92" s="1242"/>
      <c r="AV92" s="1242"/>
      <c r="AW92" s="1242"/>
      <c r="AX92" s="1242"/>
      <c r="AY92" s="1242"/>
      <c r="AZ92" s="8">
        <f t="shared" si="23"/>
        <v>80</v>
      </c>
      <c r="BA92" s="269" t="s">
        <v>1109</v>
      </c>
      <c r="BB92" s="745">
        <f>AX17</f>
        <v>-29911730</v>
      </c>
      <c r="BC92" s="128">
        <f t="shared" si="25"/>
        <v>627847</v>
      </c>
      <c r="BD92" s="128"/>
      <c r="BE92" s="112"/>
      <c r="BF92" s="112"/>
      <c r="BG92" s="112"/>
      <c r="BH92" s="112"/>
      <c r="BI92" s="112"/>
      <c r="BO92" s="1242"/>
      <c r="BP92" s="1242"/>
      <c r="BQ92" s="1242"/>
      <c r="BR92" s="1242"/>
      <c r="BS92" s="1242"/>
      <c r="BT92" s="1068"/>
      <c r="BU92" s="1068"/>
      <c r="BV92" s="1068"/>
      <c r="BW92" s="1068"/>
      <c r="BX92" s="1068"/>
      <c r="BY92" s="1068"/>
      <c r="BZ92" s="1068"/>
      <c r="CA92" s="1068"/>
      <c r="CB92" s="1068"/>
      <c r="CC92" s="1068"/>
      <c r="CD92" s="1068"/>
      <c r="CE92" s="1068"/>
      <c r="CF92" s="1068"/>
      <c r="CG92" s="1068"/>
      <c r="CH92" s="1068"/>
      <c r="CI92" s="1242"/>
      <c r="CJ92" s="109"/>
      <c r="CK92" s="109"/>
      <c r="CL92" s="109"/>
      <c r="CM92" s="109"/>
    </row>
    <row r="93" spans="1:91" s="933" customFormat="1">
      <c r="A93" s="1242"/>
      <c r="B93" s="1242"/>
      <c r="C93" s="1242"/>
      <c r="D93" s="1242"/>
      <c r="E93" s="1242"/>
      <c r="F93" s="1242"/>
      <c r="G93" s="112"/>
      <c r="H93" s="112"/>
      <c r="I93" s="112"/>
      <c r="J93" s="1242"/>
      <c r="K93" s="1242"/>
      <c r="L93" s="112"/>
      <c r="M93" s="112"/>
      <c r="N93" s="112"/>
      <c r="O93" s="112"/>
      <c r="P93" s="1242"/>
      <c r="Q93" s="1242"/>
      <c r="R93" s="1242"/>
      <c r="S93" s="1242"/>
      <c r="T93" s="1242"/>
      <c r="U93" s="1242"/>
      <c r="V93" s="1242"/>
      <c r="W93" s="1242"/>
      <c r="X93" s="1242"/>
      <c r="Y93" s="1242"/>
      <c r="Z93" s="1242"/>
      <c r="AA93" s="1242"/>
      <c r="AB93" s="1242"/>
      <c r="AC93" s="1242"/>
      <c r="AD93" s="1242"/>
      <c r="AE93" s="1242"/>
      <c r="AF93" s="1242"/>
      <c r="AG93" s="1242"/>
      <c r="AH93" s="1242"/>
      <c r="AI93" s="1242"/>
      <c r="AJ93" s="1242"/>
      <c r="AK93" s="1242"/>
      <c r="AL93" s="1242"/>
      <c r="AM93" s="1242"/>
      <c r="AN93" s="1242"/>
      <c r="AO93" s="1242"/>
      <c r="AP93" s="1242"/>
      <c r="AQ93" s="112"/>
      <c r="AR93" s="112"/>
      <c r="AS93" s="112"/>
      <c r="AT93" s="112"/>
      <c r="AU93" s="1242"/>
      <c r="AV93" s="1242"/>
      <c r="AW93" s="1242"/>
      <c r="AX93" s="1242"/>
      <c r="AY93" s="1242"/>
      <c r="AZ93" s="8">
        <f t="shared" si="23"/>
        <v>81</v>
      </c>
      <c r="BA93" s="9" t="s">
        <v>729</v>
      </c>
      <c r="BB93" s="745">
        <f>AX18</f>
        <v>-10331527.550000008</v>
      </c>
      <c r="BC93" s="128">
        <f t="shared" si="25"/>
        <v>216859</v>
      </c>
      <c r="BD93" s="128"/>
      <c r="BE93" s="112"/>
      <c r="BF93" s="112"/>
      <c r="BG93" s="112"/>
      <c r="BH93" s="112"/>
      <c r="BI93" s="112"/>
      <c r="BO93" s="1242"/>
      <c r="BP93" s="1242"/>
      <c r="BQ93" s="1242"/>
      <c r="BR93" s="1242"/>
      <c r="BS93" s="1242"/>
      <c r="BT93" s="1068"/>
      <c r="BU93" s="1068"/>
      <c r="BV93" s="1068"/>
      <c r="BW93" s="1068"/>
      <c r="BX93" s="1068"/>
      <c r="BY93" s="1068"/>
      <c r="BZ93" s="1068"/>
      <c r="CA93" s="1068"/>
      <c r="CB93" s="1068"/>
      <c r="CC93" s="1068"/>
      <c r="CD93" s="1068"/>
      <c r="CE93" s="1068"/>
      <c r="CF93" s="1068"/>
      <c r="CG93" s="1068"/>
      <c r="CH93" s="1068"/>
      <c r="CI93" s="1242"/>
      <c r="CJ93" s="109"/>
      <c r="CK93" s="109"/>
      <c r="CL93" s="109"/>
      <c r="CM93" s="109"/>
    </row>
    <row r="94" spans="1:91" s="933" customFormat="1">
      <c r="A94" s="1242"/>
      <c r="B94" s="1242"/>
      <c r="C94" s="1242"/>
      <c r="D94" s="1242"/>
      <c r="E94" s="1242"/>
      <c r="F94" s="1242"/>
      <c r="G94" s="112"/>
      <c r="H94" s="112"/>
      <c r="I94" s="112"/>
      <c r="J94" s="1242"/>
      <c r="K94" s="1242"/>
      <c r="L94" s="112"/>
      <c r="M94" s="112"/>
      <c r="N94" s="112"/>
      <c r="O94" s="112"/>
      <c r="P94" s="1242"/>
      <c r="Q94" s="1242"/>
      <c r="R94" s="1242"/>
      <c r="S94" s="1242"/>
      <c r="T94" s="1242"/>
      <c r="U94" s="1242"/>
      <c r="V94" s="1242"/>
      <c r="W94" s="1242"/>
      <c r="X94" s="1242"/>
      <c r="Y94" s="1242"/>
      <c r="Z94" s="1242"/>
      <c r="AA94" s="1242"/>
      <c r="AB94" s="1242"/>
      <c r="AC94" s="1242"/>
      <c r="AD94" s="1242"/>
      <c r="AE94" s="1242"/>
      <c r="AF94" s="1242"/>
      <c r="AG94" s="1242"/>
      <c r="AH94" s="1242"/>
      <c r="AI94" s="1242"/>
      <c r="AJ94" s="1242"/>
      <c r="AK94" s="1242"/>
      <c r="AL94" s="1242"/>
      <c r="AM94" s="1242"/>
      <c r="AN94" s="1242"/>
      <c r="AO94" s="1242"/>
      <c r="AP94" s="1242"/>
      <c r="AQ94" s="112"/>
      <c r="AR94" s="112"/>
      <c r="AS94" s="112"/>
      <c r="AT94" s="112"/>
      <c r="AU94" s="1242"/>
      <c r="AV94" s="1242"/>
      <c r="AW94" s="1242"/>
      <c r="AX94" s="1242"/>
      <c r="AY94" s="1242"/>
      <c r="AZ94" s="8">
        <f t="shared" si="23"/>
        <v>82</v>
      </c>
      <c r="BA94" s="269" t="s">
        <v>491</v>
      </c>
      <c r="BB94" s="745">
        <f>AX22</f>
        <v>-1529461.682666667</v>
      </c>
      <c r="BC94" s="128">
        <f t="shared" si="25"/>
        <v>32103</v>
      </c>
      <c r="BD94" s="128"/>
      <c r="BE94" s="112"/>
      <c r="BF94" s="112"/>
      <c r="BG94" s="112"/>
      <c r="BH94" s="112"/>
      <c r="BI94" s="112"/>
      <c r="BO94" s="1242"/>
      <c r="BP94" s="1242"/>
      <c r="BQ94" s="1242"/>
      <c r="BR94" s="1242"/>
      <c r="BS94" s="1242"/>
      <c r="BT94" s="1068"/>
      <c r="BU94" s="1068"/>
      <c r="BV94" s="1068"/>
      <c r="BW94" s="1068"/>
      <c r="BX94" s="1068"/>
      <c r="BY94" s="1068"/>
      <c r="BZ94" s="1068"/>
      <c r="CA94" s="1068"/>
      <c r="CB94" s="1068"/>
      <c r="CC94" s="1068"/>
      <c r="CD94" s="1068"/>
      <c r="CE94" s="1068"/>
      <c r="CF94" s="1068"/>
      <c r="CG94" s="1068"/>
      <c r="CH94" s="1068"/>
      <c r="CI94" s="1242"/>
      <c r="CJ94" s="109"/>
      <c r="CK94" s="109"/>
      <c r="CL94" s="109"/>
      <c r="CM94" s="109"/>
    </row>
    <row r="95" spans="1:91" s="933" customFormat="1">
      <c r="A95" s="1242"/>
      <c r="B95" s="1242"/>
      <c r="C95" s="1242"/>
      <c r="D95" s="1242"/>
      <c r="E95" s="1242"/>
      <c r="F95" s="1242"/>
      <c r="G95" s="112"/>
      <c r="H95" s="112"/>
      <c r="I95" s="112"/>
      <c r="J95" s="1242"/>
      <c r="K95" s="1242"/>
      <c r="L95" s="112"/>
      <c r="M95" s="112"/>
      <c r="N95" s="112"/>
      <c r="O95" s="11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2"/>
      <c r="AB95" s="1242"/>
      <c r="AC95" s="1242"/>
      <c r="AD95" s="1242"/>
      <c r="AE95" s="1242"/>
      <c r="AF95" s="1242"/>
      <c r="AG95" s="1242"/>
      <c r="AH95" s="1242"/>
      <c r="AI95" s="1242"/>
      <c r="AJ95" s="1242"/>
      <c r="AK95" s="1242"/>
      <c r="AL95" s="1242"/>
      <c r="AM95" s="1242"/>
      <c r="AN95" s="1242"/>
      <c r="AO95" s="1242"/>
      <c r="AP95" s="1242"/>
      <c r="AQ95" s="112"/>
      <c r="AR95" s="112"/>
      <c r="AS95" s="112"/>
      <c r="AT95" s="112"/>
      <c r="AU95" s="1242"/>
      <c r="AV95" s="1242"/>
      <c r="AW95" s="1242"/>
      <c r="AX95" s="1242"/>
      <c r="AY95" s="1242"/>
      <c r="AZ95" s="8">
        <f t="shared" si="23"/>
        <v>83</v>
      </c>
      <c r="BA95" s="269" t="s">
        <v>490</v>
      </c>
      <c r="BB95" s="745">
        <f>AX23</f>
        <v>-2096742.2330097083</v>
      </c>
      <c r="BC95" s="128">
        <f t="shared" si="25"/>
        <v>44011</v>
      </c>
      <c r="BD95" s="128"/>
      <c r="BE95" s="112"/>
      <c r="BF95" s="112"/>
      <c r="BG95" s="112"/>
      <c r="BH95" s="112"/>
      <c r="BI95" s="112"/>
      <c r="BO95" s="1242"/>
      <c r="BP95" s="1242"/>
      <c r="BQ95" s="1242"/>
      <c r="BR95" s="1242"/>
      <c r="BS95" s="1242"/>
      <c r="BT95" s="1068"/>
      <c r="BU95" s="1068"/>
      <c r="BV95" s="1068"/>
      <c r="BW95" s="1068"/>
      <c r="BX95" s="1068"/>
      <c r="BY95" s="1068"/>
      <c r="BZ95" s="1068"/>
      <c r="CA95" s="1068"/>
      <c r="CB95" s="1068"/>
      <c r="CC95" s="1068"/>
      <c r="CD95" s="1068"/>
      <c r="CE95" s="1068"/>
      <c r="CF95" s="1068"/>
      <c r="CG95" s="1068"/>
      <c r="CH95" s="1068"/>
      <c r="CI95" s="1242"/>
      <c r="CJ95" s="109"/>
      <c r="CK95" s="109"/>
      <c r="CL95" s="109"/>
      <c r="CM95" s="109"/>
    </row>
    <row r="96" spans="1:91" s="933" customFormat="1">
      <c r="A96" s="1242"/>
      <c r="B96" s="1242"/>
      <c r="C96" s="1242"/>
      <c r="D96" s="1242"/>
      <c r="E96" s="1242"/>
      <c r="F96" s="1242"/>
      <c r="G96" s="112"/>
      <c r="H96" s="112"/>
      <c r="I96" s="112"/>
      <c r="J96" s="1242"/>
      <c r="K96" s="1242"/>
      <c r="L96" s="112"/>
      <c r="M96" s="112"/>
      <c r="N96" s="112"/>
      <c r="O96" s="112"/>
      <c r="P96" s="1242"/>
      <c r="Q96" s="1242"/>
      <c r="R96" s="1242"/>
      <c r="S96" s="1242"/>
      <c r="T96" s="1242"/>
      <c r="U96" s="1242"/>
      <c r="V96" s="1242"/>
      <c r="W96" s="1242"/>
      <c r="X96" s="1242"/>
      <c r="Y96" s="1242"/>
      <c r="Z96" s="1242"/>
      <c r="AA96" s="1242"/>
      <c r="AB96" s="1242"/>
      <c r="AC96" s="1242"/>
      <c r="AD96" s="1242"/>
      <c r="AE96" s="1242"/>
      <c r="AF96" s="1242"/>
      <c r="AG96" s="1242"/>
      <c r="AH96" s="1242"/>
      <c r="AI96" s="1242"/>
      <c r="AJ96" s="1242"/>
      <c r="AK96" s="1242"/>
      <c r="AL96" s="1242"/>
      <c r="AM96" s="1242"/>
      <c r="AN96" s="1242"/>
      <c r="AO96" s="1242"/>
      <c r="AP96" s="1242"/>
      <c r="AQ96" s="112"/>
      <c r="AR96" s="112"/>
      <c r="AS96" s="112"/>
      <c r="AT96" s="112"/>
      <c r="AU96" s="1242"/>
      <c r="AV96" s="1242"/>
      <c r="AW96" s="1242"/>
      <c r="AX96" s="1242"/>
      <c r="AY96" s="1242"/>
      <c r="AZ96" s="8">
        <f t="shared" si="23"/>
        <v>84</v>
      </c>
      <c r="BA96" s="1242" t="s">
        <v>288</v>
      </c>
      <c r="BB96" s="745">
        <f>AX24</f>
        <v>23180900.644329056</v>
      </c>
      <c r="BC96" s="128">
        <f t="shared" si="25"/>
        <v>-486567</v>
      </c>
      <c r="BD96" s="128"/>
      <c r="BE96" s="112"/>
      <c r="BF96" s="112"/>
      <c r="BG96" s="112"/>
      <c r="BH96" s="112"/>
      <c r="BI96" s="112"/>
      <c r="BO96" s="1242"/>
      <c r="BP96" s="1242"/>
      <c r="BQ96" s="1242"/>
      <c r="BR96" s="1242"/>
      <c r="BS96" s="1242"/>
      <c r="BT96" s="1068"/>
      <c r="BU96" s="1068"/>
      <c r="BV96" s="1068"/>
      <c r="BW96" s="1068"/>
      <c r="BX96" s="1068"/>
      <c r="BY96" s="1068"/>
      <c r="BZ96" s="1068"/>
      <c r="CA96" s="1068"/>
      <c r="CB96" s="1068"/>
      <c r="CC96" s="1068"/>
      <c r="CD96" s="1068"/>
      <c r="CE96" s="1068"/>
      <c r="CF96" s="1068"/>
      <c r="CG96" s="1068"/>
      <c r="CH96" s="1068"/>
      <c r="CI96" s="1242"/>
      <c r="CJ96" s="109"/>
      <c r="CK96" s="109"/>
      <c r="CL96" s="109"/>
      <c r="CM96" s="109"/>
    </row>
    <row r="97" spans="7:91" s="1242" customFormat="1" ht="13.5">
      <c r="G97" s="112"/>
      <c r="H97" s="112"/>
      <c r="I97" s="112"/>
      <c r="L97" s="112"/>
      <c r="M97" s="112"/>
      <c r="N97" s="112"/>
      <c r="O97" s="112"/>
      <c r="AQ97" s="112"/>
      <c r="AR97" s="112"/>
      <c r="AS97" s="112"/>
      <c r="AT97" s="112"/>
      <c r="AZ97" s="8">
        <f t="shared" si="23"/>
        <v>85</v>
      </c>
      <c r="BA97" s="269" t="s">
        <v>1112</v>
      </c>
      <c r="BB97" s="1105">
        <f>AX26</f>
        <v>3583333.3333333335</v>
      </c>
      <c r="BC97" s="1095">
        <f t="shared" si="25"/>
        <v>-75214</v>
      </c>
      <c r="BD97" s="128"/>
      <c r="BE97" s="112"/>
      <c r="BF97" s="112"/>
      <c r="BG97" s="112"/>
      <c r="BH97" s="112"/>
      <c r="BI97" s="112"/>
      <c r="BJ97" s="933"/>
      <c r="BK97" s="933"/>
      <c r="BL97" s="933"/>
      <c r="BM97" s="933"/>
      <c r="BN97" s="933"/>
      <c r="BT97" s="1068"/>
      <c r="BU97" s="1068"/>
      <c r="BV97" s="1068"/>
      <c r="BW97" s="1068"/>
      <c r="BX97" s="1068"/>
      <c r="BY97" s="1068"/>
      <c r="BZ97" s="1068"/>
      <c r="CA97" s="1068"/>
      <c r="CB97" s="1068"/>
      <c r="CC97" s="1068"/>
      <c r="CD97" s="1068"/>
      <c r="CE97" s="1068"/>
      <c r="CF97" s="1068"/>
      <c r="CG97" s="1068"/>
      <c r="CH97" s="1068"/>
      <c r="CJ97" s="109"/>
      <c r="CK97" s="109"/>
      <c r="CL97" s="109"/>
      <c r="CM97" s="109"/>
    </row>
    <row r="98" spans="7:91" s="1242" customFormat="1">
      <c r="G98" s="112"/>
      <c r="H98" s="112"/>
      <c r="I98" s="112"/>
      <c r="L98" s="112"/>
      <c r="M98" s="112"/>
      <c r="N98" s="112"/>
      <c r="O98" s="112"/>
      <c r="AQ98" s="112"/>
      <c r="AR98" s="112"/>
      <c r="AS98" s="112"/>
      <c r="AT98" s="112"/>
      <c r="AZ98" s="8">
        <f t="shared" si="23"/>
        <v>86</v>
      </c>
      <c r="BA98" s="269" t="s">
        <v>1130</v>
      </c>
      <c r="BB98" s="745">
        <f>AX27</f>
        <v>1193197.5</v>
      </c>
      <c r="BC98" s="128">
        <f t="shared" si="25"/>
        <v>-25045</v>
      </c>
      <c r="BD98" s="128"/>
      <c r="BE98" s="112"/>
      <c r="BF98" s="112"/>
      <c r="BG98" s="112"/>
      <c r="BH98" s="112"/>
      <c r="BI98" s="112"/>
      <c r="BJ98" s="933"/>
      <c r="BK98" s="933"/>
      <c r="BL98" s="933"/>
      <c r="BM98" s="933"/>
      <c r="BN98" s="933"/>
      <c r="BT98" s="1068"/>
      <c r="BU98" s="1068"/>
      <c r="BV98" s="1068"/>
      <c r="BW98" s="1068"/>
      <c r="BX98" s="1068"/>
      <c r="BY98" s="1068"/>
      <c r="BZ98" s="1068"/>
      <c r="CA98" s="1068"/>
      <c r="CB98" s="1068"/>
      <c r="CC98" s="1068"/>
      <c r="CD98" s="1068"/>
      <c r="CE98" s="1068"/>
      <c r="CF98" s="1068"/>
      <c r="CG98" s="1068"/>
      <c r="CH98" s="1068"/>
      <c r="CJ98" s="109"/>
      <c r="CK98" s="109"/>
      <c r="CL98" s="109"/>
      <c r="CM98" s="109"/>
    </row>
    <row r="99" spans="7:91" s="1242" customFormat="1">
      <c r="G99" s="112"/>
      <c r="H99" s="112"/>
      <c r="I99" s="112"/>
      <c r="L99" s="112"/>
      <c r="M99" s="112"/>
      <c r="N99" s="112"/>
      <c r="O99" s="112"/>
      <c r="AQ99" s="112"/>
      <c r="AR99" s="112"/>
      <c r="AS99" s="112"/>
      <c r="AT99" s="112"/>
      <c r="AZ99" s="8">
        <f t="shared" si="23"/>
        <v>87</v>
      </c>
      <c r="BA99" s="269" t="s">
        <v>708</v>
      </c>
      <c r="BB99" s="745">
        <f>+O14+O15</f>
        <v>99746463.456615046</v>
      </c>
      <c r="BC99" s="128">
        <f t="shared" si="25"/>
        <v>-2093678</v>
      </c>
      <c r="BD99" s="128"/>
      <c r="BE99" s="112"/>
      <c r="BF99" s="112"/>
      <c r="BG99" s="112"/>
      <c r="BH99" s="112"/>
      <c r="BI99" s="112"/>
      <c r="BJ99" s="933"/>
      <c r="BK99" s="933"/>
      <c r="BL99" s="933"/>
      <c r="BM99" s="933"/>
      <c r="BN99" s="933"/>
      <c r="BT99" s="1068"/>
      <c r="BU99" s="1068"/>
      <c r="BV99" s="1068"/>
      <c r="BW99" s="1068"/>
      <c r="BX99" s="1068"/>
      <c r="BY99" s="1068"/>
      <c r="BZ99" s="1068"/>
      <c r="CA99" s="1068"/>
      <c r="CB99" s="1068"/>
      <c r="CC99" s="1068"/>
      <c r="CD99" s="1068"/>
      <c r="CE99" s="1068"/>
      <c r="CF99" s="1068"/>
      <c r="CG99" s="1068"/>
      <c r="CH99" s="1068"/>
      <c r="CJ99" s="109"/>
      <c r="CK99" s="109"/>
      <c r="CL99" s="109"/>
      <c r="CM99" s="109"/>
    </row>
    <row r="100" spans="7:91" s="1242" customFormat="1" ht="13.5">
      <c r="G100" s="112"/>
      <c r="H100" s="112"/>
      <c r="I100" s="112"/>
      <c r="L100" s="112"/>
      <c r="M100" s="112"/>
      <c r="N100" s="112"/>
      <c r="O100" s="112"/>
      <c r="AQ100" s="112"/>
      <c r="AR100" s="112"/>
      <c r="AS100" s="112"/>
      <c r="AT100" s="112"/>
      <c r="AZ100" s="8">
        <f t="shared" si="23"/>
        <v>88</v>
      </c>
      <c r="BA100" s="1068" t="s">
        <v>1397</v>
      </c>
      <c r="BB100" s="1105">
        <f>BH28</f>
        <v>10324092.422502052</v>
      </c>
      <c r="BC100" s="1105">
        <f t="shared" si="25"/>
        <v>-216703</v>
      </c>
      <c r="BD100" s="128"/>
      <c r="BE100" s="112"/>
      <c r="BF100" s="112"/>
      <c r="BG100" s="112"/>
      <c r="BH100" s="112"/>
      <c r="BI100" s="112"/>
      <c r="BJ100" s="933"/>
      <c r="BK100" s="933"/>
      <c r="BL100" s="933"/>
      <c r="BM100" s="933"/>
      <c r="BN100" s="933"/>
      <c r="BT100" s="1068"/>
      <c r="BU100" s="1068"/>
      <c r="BV100" s="1068"/>
      <c r="BW100" s="1068"/>
      <c r="BX100" s="1068"/>
      <c r="BY100" s="1068"/>
      <c r="BZ100" s="1068"/>
      <c r="CA100" s="1068"/>
      <c r="CB100" s="1068"/>
      <c r="CC100" s="1068"/>
      <c r="CD100" s="1068"/>
      <c r="CE100" s="1068"/>
      <c r="CF100" s="1068"/>
      <c r="CG100" s="1068"/>
      <c r="CH100" s="1068"/>
      <c r="CJ100" s="109"/>
      <c r="CK100" s="109"/>
      <c r="CL100" s="109"/>
      <c r="CM100" s="109"/>
    </row>
    <row r="101" spans="7:91" s="1242" customFormat="1">
      <c r="G101" s="112"/>
      <c r="H101" s="112"/>
      <c r="I101" s="112"/>
      <c r="L101" s="112"/>
      <c r="M101" s="112"/>
      <c r="N101" s="112"/>
      <c r="O101" s="112"/>
      <c r="AQ101" s="112"/>
      <c r="AR101" s="112"/>
      <c r="AS101" s="112"/>
      <c r="AT101" s="112"/>
      <c r="AZ101" s="8">
        <f t="shared" si="23"/>
        <v>89</v>
      </c>
      <c r="BA101" s="269" t="s">
        <v>728</v>
      </c>
      <c r="BB101" s="745">
        <f>+N22</f>
        <v>11099629.760439247</v>
      </c>
      <c r="BC101" s="128">
        <f t="shared" si="25"/>
        <v>-232981</v>
      </c>
      <c r="BD101" s="128"/>
      <c r="BE101" s="112"/>
      <c r="BF101" s="112"/>
      <c r="BG101" s="112"/>
      <c r="BH101" s="112"/>
      <c r="BI101" s="112"/>
      <c r="BJ101" s="933"/>
      <c r="BK101" s="933"/>
      <c r="BL101" s="933"/>
      <c r="BM101" s="933"/>
      <c r="BN101" s="933"/>
      <c r="BT101" s="1068"/>
      <c r="BU101" s="1068"/>
      <c r="BV101" s="1068"/>
      <c r="BW101" s="1068"/>
      <c r="BX101" s="1068"/>
      <c r="BY101" s="1068"/>
      <c r="BZ101" s="1068"/>
      <c r="CA101" s="1068"/>
      <c r="CB101" s="1068"/>
      <c r="CC101" s="1068"/>
      <c r="CD101" s="1068"/>
      <c r="CE101" s="1068"/>
      <c r="CF101" s="1068"/>
      <c r="CG101" s="1068"/>
      <c r="CH101" s="1068"/>
      <c r="CJ101" s="109"/>
      <c r="CK101" s="109"/>
      <c r="CL101" s="109"/>
      <c r="CM101" s="109"/>
    </row>
    <row r="102" spans="7:91" s="1242" customFormat="1">
      <c r="G102" s="112"/>
      <c r="H102" s="112"/>
      <c r="I102" s="112"/>
      <c r="L102" s="112"/>
      <c r="M102" s="112"/>
      <c r="N102" s="112"/>
      <c r="O102" s="112"/>
      <c r="AQ102" s="112"/>
      <c r="AR102" s="112"/>
      <c r="AS102" s="112"/>
      <c r="AT102" s="112"/>
      <c r="AZ102" s="8">
        <f t="shared" si="23"/>
        <v>90</v>
      </c>
      <c r="BA102" s="269" t="s">
        <v>726</v>
      </c>
      <c r="BB102" s="745">
        <f>+AT14+AT15+AT16</f>
        <v>117130302.1673249</v>
      </c>
      <c r="BC102" s="128">
        <f t="shared" si="25"/>
        <v>-2458565</v>
      </c>
      <c r="BD102" s="128"/>
      <c r="BE102" s="112"/>
      <c r="BF102" s="112"/>
      <c r="BG102" s="112"/>
      <c r="BH102" s="112"/>
      <c r="BI102" s="112"/>
      <c r="BJ102" s="933"/>
      <c r="BK102" s="933"/>
      <c r="BL102" s="933"/>
      <c r="BM102" s="933"/>
      <c r="BN102" s="933"/>
      <c r="BT102" s="1068"/>
      <c r="BU102" s="1068"/>
      <c r="BV102" s="1068"/>
      <c r="BW102" s="1068"/>
      <c r="BX102" s="1068"/>
      <c r="BY102" s="1068"/>
      <c r="BZ102" s="1068"/>
      <c r="CA102" s="1068"/>
      <c r="CB102" s="1068"/>
      <c r="CC102" s="1068"/>
      <c r="CD102" s="1068"/>
      <c r="CE102" s="1068"/>
      <c r="CF102" s="1068"/>
      <c r="CG102" s="1068"/>
      <c r="CH102" s="1068"/>
      <c r="CJ102" s="109"/>
      <c r="CK102" s="109"/>
      <c r="CL102" s="109"/>
      <c r="CM102" s="109"/>
    </row>
    <row r="103" spans="7:91" s="1242" customFormat="1">
      <c r="G103" s="112"/>
      <c r="H103" s="112"/>
      <c r="I103" s="112"/>
      <c r="L103" s="112"/>
      <c r="M103" s="112"/>
      <c r="N103" s="112"/>
      <c r="O103" s="112"/>
      <c r="AQ103" s="112"/>
      <c r="AR103" s="112"/>
      <c r="AS103" s="112"/>
      <c r="AT103" s="112"/>
      <c r="AZ103" s="8">
        <f t="shared" si="23"/>
        <v>91</v>
      </c>
      <c r="BA103" s="269" t="s">
        <v>727</v>
      </c>
      <c r="BB103" s="745">
        <f>+AT23</f>
        <v>18500000</v>
      </c>
      <c r="BC103" s="128">
        <f t="shared" si="25"/>
        <v>-388315</v>
      </c>
      <c r="BD103" s="128"/>
      <c r="BE103" s="112"/>
      <c r="BF103" s="112"/>
      <c r="BG103" s="112"/>
      <c r="BH103" s="112"/>
      <c r="BI103" s="112"/>
      <c r="BJ103" s="933"/>
      <c r="BK103" s="933"/>
      <c r="BL103" s="933"/>
      <c r="BM103" s="933"/>
      <c r="BN103" s="933"/>
      <c r="BT103" s="1068"/>
      <c r="BU103" s="1068"/>
      <c r="BV103" s="1068"/>
      <c r="BW103" s="1068"/>
      <c r="BX103" s="1068"/>
      <c r="BY103" s="1068"/>
      <c r="BZ103" s="1068"/>
      <c r="CA103" s="1068"/>
      <c r="CB103" s="1068"/>
      <c r="CC103" s="1068"/>
      <c r="CD103" s="1068"/>
      <c r="CE103" s="1068"/>
      <c r="CF103" s="1068"/>
      <c r="CG103" s="1068"/>
      <c r="CH103" s="1068"/>
      <c r="CJ103" s="109"/>
      <c r="CK103" s="109"/>
      <c r="CL103" s="109"/>
      <c r="CM103" s="109"/>
    </row>
    <row r="104" spans="7:91" s="1242" customFormat="1" ht="13.5">
      <c r="G104" s="112"/>
      <c r="H104" s="112"/>
      <c r="I104" s="112"/>
      <c r="L104" s="112"/>
      <c r="M104" s="112"/>
      <c r="N104" s="112"/>
      <c r="O104" s="112"/>
      <c r="AQ104" s="112"/>
      <c r="AR104" s="112"/>
      <c r="AS104" s="112"/>
      <c r="AT104" s="112"/>
      <c r="AZ104" s="8">
        <f t="shared" si="23"/>
        <v>92</v>
      </c>
      <c r="BA104" s="269" t="s">
        <v>1131</v>
      </c>
      <c r="BB104" s="1363">
        <f>SUM(AX29:AX33)</f>
        <v>31788.419916433093</v>
      </c>
      <c r="BC104" s="424">
        <f t="shared" si="25"/>
        <v>-667</v>
      </c>
      <c r="BD104" s="128"/>
      <c r="BE104" s="112"/>
      <c r="BF104" s="112"/>
      <c r="BG104" s="112"/>
      <c r="BH104" s="112"/>
      <c r="BI104" s="112"/>
      <c r="BJ104" s="933"/>
      <c r="BK104" s="933"/>
      <c r="BL104" s="933"/>
      <c r="BM104" s="933"/>
      <c r="BN104" s="933"/>
      <c r="BT104" s="1068"/>
      <c r="BU104" s="1068"/>
      <c r="BV104" s="1068"/>
      <c r="BW104" s="1068"/>
      <c r="BX104" s="1068"/>
      <c r="BY104" s="1068"/>
      <c r="BZ104" s="1068"/>
      <c r="CA104" s="1068"/>
      <c r="CB104" s="1068"/>
      <c r="CC104" s="1068"/>
      <c r="CD104" s="1068"/>
      <c r="CE104" s="1068"/>
      <c r="CF104" s="1068"/>
      <c r="CG104" s="1068"/>
      <c r="CH104" s="1068"/>
      <c r="CJ104" s="109"/>
      <c r="CK104" s="109"/>
      <c r="CL104" s="109"/>
      <c r="CM104" s="109"/>
    </row>
    <row r="105" spans="7:91" s="1242" customFormat="1" ht="13.5">
      <c r="G105" s="112"/>
      <c r="H105" s="112"/>
      <c r="I105" s="112"/>
      <c r="L105" s="112"/>
      <c r="M105" s="112"/>
      <c r="N105" s="112"/>
      <c r="O105" s="112"/>
      <c r="AQ105" s="112"/>
      <c r="AR105" s="112"/>
      <c r="AS105" s="112"/>
      <c r="AT105" s="112"/>
      <c r="AZ105" s="8">
        <f t="shared" si="23"/>
        <v>93</v>
      </c>
      <c r="BA105" s="1242" t="s">
        <v>1132</v>
      </c>
      <c r="BB105" s="1357">
        <f>SUM(BB89:BB104)</f>
        <v>311642103.36216122</v>
      </c>
      <c r="BC105" s="1357">
        <f>SUM(BC89:BC104)</f>
        <v>-6541367</v>
      </c>
      <c r="BD105" s="1357">
        <f>SUM(BB105:BC105)</f>
        <v>305100736.36216122</v>
      </c>
      <c r="BE105" s="112"/>
      <c r="BF105" s="112"/>
      <c r="BG105" s="112"/>
      <c r="BH105" s="112"/>
      <c r="BI105" s="112"/>
      <c r="BJ105" s="933"/>
      <c r="BK105" s="933"/>
      <c r="BL105" s="933"/>
      <c r="BM105" s="933"/>
      <c r="BN105" s="933"/>
      <c r="BT105" s="1068"/>
      <c r="BU105" s="1068"/>
      <c r="BV105" s="1068"/>
      <c r="BW105" s="1068"/>
      <c r="BX105" s="1068"/>
      <c r="BY105" s="1068"/>
      <c r="BZ105" s="1068"/>
      <c r="CA105" s="1068"/>
      <c r="CB105" s="1068"/>
      <c r="CC105" s="1068"/>
      <c r="CD105" s="1068"/>
      <c r="CE105" s="1068"/>
      <c r="CF105" s="1068"/>
      <c r="CG105" s="1068"/>
      <c r="CH105" s="1068"/>
      <c r="CJ105" s="109"/>
      <c r="CK105" s="109"/>
      <c r="CL105" s="109"/>
      <c r="CM105" s="109"/>
    </row>
    <row r="106" spans="7:91" s="1242" customFormat="1">
      <c r="G106" s="112"/>
      <c r="H106" s="112"/>
      <c r="I106" s="112"/>
      <c r="L106" s="112"/>
      <c r="M106" s="112"/>
      <c r="N106" s="112"/>
      <c r="O106" s="112"/>
      <c r="AQ106" s="112"/>
      <c r="AR106" s="112"/>
      <c r="AS106" s="112"/>
      <c r="AT106" s="112"/>
      <c r="AZ106" s="8">
        <f t="shared" si="23"/>
        <v>94</v>
      </c>
      <c r="BB106" s="151"/>
      <c r="BC106" s="745"/>
      <c r="BD106" s="151"/>
      <c r="BE106" s="112"/>
      <c r="BF106" s="112"/>
      <c r="BG106" s="112"/>
      <c r="BH106" s="112"/>
      <c r="BI106" s="112"/>
      <c r="BJ106" s="933"/>
      <c r="BK106" s="933"/>
      <c r="BL106" s="933"/>
      <c r="BM106" s="933"/>
      <c r="BN106" s="933"/>
      <c r="BT106" s="1068"/>
      <c r="BU106" s="1068"/>
      <c r="BV106" s="1068"/>
      <c r="BW106" s="1068"/>
      <c r="BX106" s="1068"/>
      <c r="BY106" s="1068"/>
      <c r="BZ106" s="1068"/>
      <c r="CA106" s="1068"/>
      <c r="CB106" s="1068"/>
      <c r="CC106" s="1068"/>
      <c r="CD106" s="1068"/>
      <c r="CE106" s="1068"/>
      <c r="CF106" s="1068"/>
      <c r="CG106" s="1068"/>
      <c r="CH106" s="1068"/>
      <c r="CJ106" s="109"/>
      <c r="CK106" s="109"/>
      <c r="CL106" s="109"/>
      <c r="CM106" s="109"/>
    </row>
    <row r="107" spans="7:91" s="1242" customFormat="1" ht="14.25" thickBot="1">
      <c r="G107" s="112"/>
      <c r="H107" s="112"/>
      <c r="I107" s="112"/>
      <c r="L107" s="112"/>
      <c r="M107" s="112"/>
      <c r="N107" s="112"/>
      <c r="O107" s="112"/>
      <c r="AQ107" s="112"/>
      <c r="AR107" s="112"/>
      <c r="AS107" s="112"/>
      <c r="AT107" s="112"/>
      <c r="AZ107" s="8">
        <f t="shared" si="23"/>
        <v>95</v>
      </c>
      <c r="BA107" s="1242" t="s">
        <v>1133</v>
      </c>
      <c r="BB107" s="150"/>
      <c r="BC107" s="1123">
        <f>SUM(BC86,BC105)</f>
        <v>-49973478</v>
      </c>
      <c r="BD107" s="150"/>
      <c r="BE107" s="112"/>
      <c r="BF107" s="112"/>
      <c r="BG107" s="112"/>
      <c r="BH107" s="112"/>
      <c r="BI107" s="112"/>
      <c r="BJ107" s="933"/>
      <c r="BK107" s="933"/>
      <c r="BL107" s="933"/>
      <c r="BM107" s="933"/>
      <c r="BN107" s="933"/>
      <c r="BT107" s="1068"/>
      <c r="BU107" s="1068"/>
      <c r="BV107" s="1068"/>
      <c r="BW107" s="1068"/>
      <c r="BX107" s="1068"/>
      <c r="BY107" s="1068"/>
      <c r="BZ107" s="1068"/>
      <c r="CA107" s="1068"/>
      <c r="CB107" s="1068"/>
      <c r="CC107" s="1068"/>
      <c r="CD107" s="1068"/>
      <c r="CE107" s="1068"/>
      <c r="CF107" s="1068"/>
      <c r="CG107" s="1068"/>
      <c r="CH107" s="1068"/>
      <c r="CJ107" s="109"/>
      <c r="CK107" s="109"/>
      <c r="CL107" s="109"/>
      <c r="CM107" s="109"/>
    </row>
    <row r="108" spans="7:91" s="1242" customFormat="1" ht="13.5" thickTop="1">
      <c r="G108" s="112"/>
      <c r="H108" s="112"/>
      <c r="I108" s="112"/>
      <c r="L108" s="112"/>
      <c r="M108" s="112"/>
      <c r="N108" s="112"/>
      <c r="O108" s="112"/>
      <c r="AQ108" s="112"/>
      <c r="AR108" s="112"/>
      <c r="AS108" s="112"/>
      <c r="AT108" s="112"/>
      <c r="BB108" s="128"/>
      <c r="BD108" s="129"/>
      <c r="BE108" s="112"/>
      <c r="BF108" s="112"/>
      <c r="BG108" s="112"/>
      <c r="BH108" s="112"/>
      <c r="BI108" s="112"/>
      <c r="BJ108" s="933"/>
      <c r="BK108" s="933"/>
      <c r="BL108" s="933"/>
      <c r="BM108" s="933"/>
      <c r="BN108" s="933"/>
      <c r="BT108" s="1068"/>
      <c r="BU108" s="1068"/>
      <c r="BV108" s="1068"/>
      <c r="BW108" s="1068"/>
      <c r="BX108" s="1068"/>
      <c r="BY108" s="1068"/>
      <c r="BZ108" s="1068"/>
      <c r="CA108" s="1068"/>
      <c r="CB108" s="1068"/>
      <c r="CC108" s="1068"/>
      <c r="CD108" s="1068"/>
      <c r="CE108" s="1068"/>
      <c r="CF108" s="1068"/>
      <c r="CG108" s="1068"/>
      <c r="CH108" s="1068"/>
      <c r="CJ108" s="109"/>
      <c r="CK108" s="109"/>
      <c r="CL108" s="109"/>
      <c r="CM108" s="109"/>
    </row>
    <row r="109" spans="7:91" s="1242" customFormat="1">
      <c r="G109" s="112"/>
      <c r="H109" s="112"/>
      <c r="I109" s="112"/>
      <c r="L109" s="112"/>
      <c r="M109" s="112"/>
      <c r="N109" s="112"/>
      <c r="O109" s="112"/>
      <c r="AQ109" s="112"/>
      <c r="AR109" s="112"/>
      <c r="AS109" s="112"/>
      <c r="AT109" s="112"/>
      <c r="BB109" s="128"/>
      <c r="BE109" s="112"/>
      <c r="BF109" s="112"/>
      <c r="BG109" s="112"/>
      <c r="BH109" s="112"/>
      <c r="BI109" s="112"/>
      <c r="BJ109" s="933"/>
      <c r="BK109" s="933"/>
      <c r="BL109" s="933"/>
      <c r="BM109" s="933"/>
      <c r="BN109" s="933"/>
      <c r="BT109" s="1068"/>
      <c r="BU109" s="1068"/>
      <c r="BV109" s="1068"/>
      <c r="BW109" s="1068"/>
      <c r="BX109" s="1068"/>
      <c r="BY109" s="1068"/>
      <c r="BZ109" s="1068"/>
      <c r="CA109" s="1068"/>
      <c r="CB109" s="1068"/>
      <c r="CC109" s="1068"/>
      <c r="CD109" s="1068"/>
      <c r="CE109" s="1068"/>
      <c r="CF109" s="1068"/>
      <c r="CG109" s="1068"/>
      <c r="CH109" s="1068"/>
      <c r="CJ109" s="109"/>
      <c r="CK109" s="109"/>
      <c r="CL109" s="109"/>
      <c r="CM109" s="109"/>
    </row>
    <row r="110" spans="7:91" s="1242" customFormat="1">
      <c r="G110" s="112"/>
      <c r="H110" s="112"/>
      <c r="I110" s="112"/>
      <c r="L110" s="112"/>
      <c r="M110" s="112"/>
      <c r="N110" s="112"/>
      <c r="O110" s="112"/>
      <c r="AQ110" s="112"/>
      <c r="AR110" s="112"/>
      <c r="AS110" s="112"/>
      <c r="AT110" s="112"/>
      <c r="BB110" s="128"/>
      <c r="BC110" s="129"/>
      <c r="BD110" s="36"/>
      <c r="BE110" s="112"/>
      <c r="BF110" s="112"/>
      <c r="BG110" s="112"/>
      <c r="BH110" s="112"/>
      <c r="BI110" s="112"/>
      <c r="BJ110" s="933"/>
      <c r="BK110" s="933"/>
      <c r="BL110" s="933"/>
      <c r="BM110" s="933"/>
      <c r="BN110" s="933"/>
      <c r="BO110" s="112"/>
      <c r="BP110" s="112"/>
      <c r="BT110" s="1068"/>
      <c r="BU110" s="1068"/>
      <c r="BV110" s="1068"/>
      <c r="BW110" s="1068"/>
      <c r="BX110" s="1068"/>
      <c r="BY110" s="1068"/>
      <c r="BZ110" s="1068"/>
      <c r="CA110" s="1068"/>
      <c r="CB110" s="1068"/>
      <c r="CC110" s="1068"/>
      <c r="CD110" s="1068"/>
      <c r="CE110" s="1068"/>
      <c r="CF110" s="1068"/>
      <c r="CG110" s="1068"/>
      <c r="CH110" s="1068"/>
      <c r="CJ110" s="109"/>
      <c r="CK110" s="109"/>
      <c r="CL110" s="109"/>
      <c r="CM110" s="109"/>
    </row>
    <row r="111" spans="7:91">
      <c r="L111" s="112"/>
      <c r="M111" s="112"/>
      <c r="N111" s="112"/>
      <c r="O111" s="112"/>
      <c r="AQ111" s="112"/>
      <c r="AR111" s="112"/>
      <c r="AS111" s="112"/>
      <c r="AT111" s="112"/>
      <c r="BA111" s="112"/>
      <c r="BB111" s="151"/>
      <c r="BC111" s="134"/>
      <c r="BD111" s="112"/>
      <c r="BE111" s="112"/>
      <c r="BF111" s="112"/>
      <c r="BG111" s="112"/>
      <c r="BH111" s="112"/>
      <c r="BI111" s="112"/>
      <c r="BO111" s="112"/>
      <c r="BP111" s="112"/>
    </row>
    <row r="112" spans="7:91">
      <c r="L112" s="112"/>
      <c r="M112" s="112"/>
      <c r="N112" s="112"/>
      <c r="O112" s="112"/>
      <c r="AQ112" s="112"/>
      <c r="AR112" s="112"/>
      <c r="AS112" s="112"/>
      <c r="AT112" s="112"/>
      <c r="BA112" s="112"/>
      <c r="BB112" s="151"/>
      <c r="BC112" s="134"/>
      <c r="BD112" s="112"/>
      <c r="BE112" s="112"/>
      <c r="BF112" s="112"/>
      <c r="BG112" s="112"/>
      <c r="BH112" s="112"/>
      <c r="BI112" s="112"/>
      <c r="BO112" s="170"/>
      <c r="BP112" s="170"/>
    </row>
    <row r="113" spans="12:68">
      <c r="L113" s="112"/>
      <c r="M113" s="112"/>
      <c r="N113" s="112"/>
      <c r="O113" s="112"/>
      <c r="AQ113" s="112"/>
      <c r="AR113" s="112"/>
      <c r="AS113" s="112"/>
      <c r="AT113" s="112"/>
      <c r="BA113" s="112"/>
      <c r="BB113" s="151"/>
      <c r="BC113" s="134"/>
      <c r="BD113" s="112"/>
      <c r="BE113" s="112"/>
      <c r="BF113" s="112"/>
      <c r="BG113" s="112"/>
      <c r="BH113" s="112"/>
      <c r="BI113" s="112"/>
      <c r="BO113" s="112"/>
      <c r="BP113" s="112"/>
    </row>
    <row r="114" spans="12:68">
      <c r="L114" s="112"/>
      <c r="M114" s="112"/>
      <c r="N114" s="112"/>
      <c r="O114" s="112"/>
      <c r="AQ114" s="112"/>
      <c r="AR114" s="112"/>
      <c r="AS114" s="112"/>
      <c r="AT114" s="112"/>
      <c r="BA114" s="170"/>
      <c r="BB114" s="170"/>
      <c r="BC114" s="170"/>
      <c r="BD114" s="170"/>
      <c r="BE114" s="112"/>
      <c r="BF114" s="112"/>
      <c r="BG114" s="112"/>
      <c r="BH114" s="112"/>
      <c r="BI114" s="112"/>
      <c r="BO114" s="112"/>
      <c r="BP114" s="112"/>
    </row>
    <row r="115" spans="12:68">
      <c r="L115" s="112"/>
      <c r="M115" s="112"/>
      <c r="N115" s="112"/>
      <c r="O115" s="112"/>
      <c r="AQ115" s="112"/>
      <c r="AR115" s="112"/>
      <c r="AS115" s="112"/>
      <c r="AT115" s="112"/>
      <c r="BA115" s="112"/>
      <c r="BB115" s="727"/>
      <c r="BC115" s="134"/>
      <c r="BD115" s="112"/>
      <c r="BE115" s="112"/>
      <c r="BF115" s="112"/>
      <c r="BG115" s="112"/>
      <c r="BH115" s="112"/>
      <c r="BI115" s="112"/>
      <c r="BO115" s="112"/>
      <c r="BP115" s="112"/>
    </row>
    <row r="116" spans="12:68">
      <c r="L116" s="112"/>
      <c r="M116" s="112"/>
      <c r="N116" s="112"/>
      <c r="O116" s="112"/>
      <c r="AQ116" s="112"/>
      <c r="AR116" s="112"/>
      <c r="AS116" s="112"/>
      <c r="AT116" s="112"/>
      <c r="BA116" s="38"/>
      <c r="BB116" s="105"/>
      <c r="BC116" s="105"/>
      <c r="BD116" s="112"/>
      <c r="BE116" s="112"/>
      <c r="BF116" s="112"/>
      <c r="BG116" s="112"/>
      <c r="BH116" s="112"/>
      <c r="BI116" s="112"/>
      <c r="BO116" s="112"/>
      <c r="BP116" s="112"/>
    </row>
    <row r="117" spans="12:68">
      <c r="L117" s="112"/>
      <c r="M117" s="112"/>
      <c r="N117" s="112"/>
      <c r="O117" s="112"/>
      <c r="AQ117" s="112"/>
      <c r="AR117" s="112"/>
      <c r="AS117" s="112"/>
      <c r="AT117" s="112"/>
      <c r="BA117" s="105"/>
      <c r="BB117" s="170"/>
      <c r="BC117" s="170"/>
      <c r="BD117" s="112"/>
      <c r="BE117" s="112"/>
      <c r="BF117" s="112"/>
      <c r="BG117" s="112"/>
      <c r="BH117" s="112"/>
      <c r="BI117" s="112"/>
      <c r="BO117" s="170"/>
      <c r="BP117" s="170"/>
    </row>
    <row r="118" spans="12:68">
      <c r="L118" s="112"/>
      <c r="M118" s="112"/>
      <c r="N118" s="112"/>
      <c r="O118" s="112"/>
      <c r="AQ118" s="112"/>
      <c r="AR118" s="112"/>
      <c r="AS118" s="112"/>
      <c r="AT118" s="112"/>
      <c r="BA118" s="105"/>
      <c r="BB118" s="170"/>
      <c r="BC118" s="170"/>
      <c r="BD118" s="112"/>
      <c r="BE118" s="112"/>
      <c r="BF118" s="112"/>
      <c r="BG118" s="112"/>
      <c r="BH118" s="112"/>
      <c r="BI118" s="112"/>
      <c r="BO118" s="170"/>
      <c r="BP118" s="170"/>
    </row>
    <row r="119" spans="12:68">
      <c r="L119" s="112"/>
      <c r="M119" s="112"/>
      <c r="N119" s="112"/>
      <c r="O119" s="112"/>
      <c r="BA119" s="105"/>
      <c r="BB119" s="170"/>
      <c r="BC119" s="170"/>
      <c r="BD119" s="170"/>
      <c r="BO119" s="170"/>
      <c r="BP119" s="170"/>
    </row>
    <row r="120" spans="12:68">
      <c r="L120" s="112"/>
      <c r="M120" s="112"/>
      <c r="N120" s="112"/>
      <c r="O120" s="112"/>
      <c r="BA120" s="105"/>
      <c r="BB120" s="170"/>
      <c r="BC120" s="170"/>
      <c r="BD120" s="170"/>
      <c r="BO120" s="170"/>
      <c r="BP120" s="170"/>
    </row>
    <row r="121" spans="12:68">
      <c r="L121" s="112"/>
      <c r="M121" s="112"/>
      <c r="N121" s="112"/>
      <c r="O121" s="112"/>
      <c r="BA121" s="105"/>
      <c r="BB121" s="170"/>
      <c r="BC121" s="170"/>
      <c r="BD121" s="170"/>
      <c r="BO121" s="112"/>
      <c r="BP121" s="112"/>
    </row>
    <row r="122" spans="12:68">
      <c r="L122" s="112"/>
      <c r="M122" s="112"/>
      <c r="N122" s="112"/>
      <c r="O122" s="112"/>
      <c r="BA122" s="105"/>
      <c r="BB122" s="170"/>
      <c r="BC122" s="170"/>
      <c r="BD122" s="170"/>
      <c r="BO122" s="112"/>
      <c r="BP122" s="112"/>
    </row>
    <row r="123" spans="12:68">
      <c r="L123" s="112"/>
      <c r="M123" s="112"/>
      <c r="N123" s="112"/>
      <c r="O123" s="112"/>
      <c r="BA123" s="112"/>
      <c r="BB123" s="112"/>
      <c r="BC123" s="112"/>
      <c r="BD123" s="112"/>
      <c r="BO123" s="112"/>
      <c r="BP123" s="112"/>
    </row>
    <row r="124" spans="12:68">
      <c r="L124" s="112"/>
      <c r="M124" s="112"/>
      <c r="N124" s="112"/>
      <c r="O124" s="112"/>
      <c r="BA124" s="170"/>
      <c r="BB124" s="170"/>
      <c r="BC124" s="170"/>
      <c r="BD124" s="170"/>
    </row>
    <row r="125" spans="12:68">
      <c r="L125" s="112"/>
      <c r="M125" s="112"/>
      <c r="N125" s="112"/>
      <c r="O125" s="112"/>
      <c r="BA125" s="109"/>
      <c r="BB125" s="109"/>
      <c r="BC125" s="109"/>
      <c r="BD125" s="109"/>
    </row>
    <row r="126" spans="12:68">
      <c r="L126" s="112"/>
      <c r="M126" s="112"/>
      <c r="N126" s="112"/>
      <c r="O126" s="112"/>
      <c r="BA126" s="109"/>
      <c r="BB126" s="109"/>
      <c r="BC126" s="109"/>
      <c r="BD126" s="109"/>
    </row>
    <row r="127" spans="12:68">
      <c r="L127" s="112"/>
      <c r="M127" s="112"/>
      <c r="N127" s="112"/>
      <c r="O127" s="112"/>
      <c r="BA127" s="109"/>
      <c r="BB127" s="109"/>
      <c r="BC127" s="109"/>
      <c r="BD127" s="109"/>
    </row>
    <row r="128" spans="12:68">
      <c r="BA128" s="109"/>
      <c r="BB128" s="109"/>
      <c r="BC128" s="109"/>
      <c r="BD128" s="109"/>
    </row>
    <row r="129" spans="53:56">
      <c r="BA129" s="109"/>
      <c r="BB129" s="109"/>
      <c r="BC129" s="109"/>
      <c r="BD129" s="109"/>
    </row>
    <row r="130" spans="53:56">
      <c r="BA130" s="109"/>
      <c r="BB130" s="109"/>
      <c r="BC130" s="109"/>
      <c r="BD130" s="109"/>
    </row>
    <row r="131" spans="53:56">
      <c r="BA131" s="109"/>
      <c r="BB131" s="109"/>
      <c r="BC131" s="109"/>
      <c r="BD131" s="109"/>
    </row>
    <row r="132" spans="53:56">
      <c r="BA132" s="109"/>
      <c r="BB132" s="109"/>
      <c r="BC132" s="109"/>
      <c r="BD132" s="109"/>
    </row>
    <row r="133" spans="53:56">
      <c r="BA133" s="109"/>
      <c r="BB133" s="109"/>
      <c r="BC133" s="109"/>
      <c r="BD133" s="109"/>
    </row>
    <row r="134" spans="53:56">
      <c r="BA134" s="109"/>
      <c r="BB134" s="109"/>
      <c r="BC134" s="109"/>
      <c r="BD134" s="109"/>
    </row>
    <row r="135" spans="53:56">
      <c r="BA135" s="109"/>
      <c r="BB135" s="109"/>
      <c r="BC135" s="109"/>
      <c r="BD135" s="109"/>
    </row>
    <row r="136" spans="53:56">
      <c r="BA136" s="109"/>
      <c r="BB136" s="109"/>
      <c r="BC136" s="109"/>
      <c r="BD136" s="109"/>
    </row>
    <row r="137" spans="53:56">
      <c r="BA137" s="109"/>
      <c r="BB137" s="109"/>
      <c r="BC137" s="109"/>
      <c r="BD137" s="109"/>
    </row>
    <row r="138" spans="53:56">
      <c r="BA138" s="109"/>
      <c r="BB138" s="109"/>
      <c r="BC138" s="109"/>
      <c r="BD138" s="109"/>
    </row>
    <row r="139" spans="53:56">
      <c r="BA139" s="109"/>
      <c r="BB139" s="109"/>
      <c r="BC139" s="109"/>
      <c r="BD139" s="109"/>
    </row>
    <row r="140" spans="53:56">
      <c r="BA140" s="109"/>
      <c r="BB140" s="109"/>
      <c r="BC140" s="109"/>
      <c r="BD140" s="109"/>
    </row>
    <row r="141" spans="53:56">
      <c r="BA141" s="109"/>
      <c r="BB141" s="109"/>
      <c r="BC141" s="109"/>
      <c r="BD141" s="109"/>
    </row>
    <row r="142" spans="53:56">
      <c r="BA142" s="109"/>
      <c r="BB142" s="109"/>
      <c r="BC142" s="109"/>
      <c r="BD142" s="109"/>
    </row>
    <row r="143" spans="53:56">
      <c r="BA143" s="109"/>
      <c r="BB143" s="109"/>
      <c r="BC143" s="109"/>
      <c r="BD143" s="109"/>
    </row>
    <row r="144" spans="53:56">
      <c r="BA144" s="109"/>
      <c r="BB144" s="109"/>
      <c r="BC144" s="109"/>
      <c r="BD144" s="109"/>
    </row>
    <row r="145" spans="53:56">
      <c r="BA145" s="109"/>
      <c r="BB145" s="109"/>
      <c r="BC145" s="109"/>
      <c r="BD145" s="109"/>
    </row>
    <row r="146" spans="53:56">
      <c r="BA146" s="109"/>
      <c r="BB146" s="109"/>
      <c r="BC146" s="109"/>
      <c r="BD146" s="109"/>
    </row>
    <row r="147" spans="53:56">
      <c r="BA147" s="109"/>
      <c r="BB147" s="109"/>
      <c r="BC147" s="109"/>
      <c r="BD147" s="109"/>
    </row>
    <row r="148" spans="53:56">
      <c r="BA148" s="109"/>
      <c r="BB148" s="109"/>
      <c r="BC148" s="109"/>
      <c r="BD148" s="109"/>
    </row>
    <row r="149" spans="53:56">
      <c r="BA149" s="109"/>
      <c r="BB149" s="109"/>
      <c r="BC149" s="109"/>
      <c r="BD149" s="109"/>
    </row>
    <row r="150" spans="53:56">
      <c r="BA150" s="109"/>
      <c r="BB150" s="109"/>
      <c r="BC150" s="109"/>
      <c r="BD150" s="109"/>
    </row>
    <row r="151" spans="53:56">
      <c r="BA151" s="109"/>
      <c r="BB151" s="109"/>
      <c r="BC151" s="109"/>
      <c r="BD151" s="109"/>
    </row>
    <row r="152" spans="53:56">
      <c r="BA152" s="109"/>
      <c r="BB152" s="109"/>
      <c r="BC152" s="109"/>
      <c r="BD152" s="109"/>
    </row>
    <row r="153" spans="53:56">
      <c r="BA153" s="109"/>
      <c r="BB153" s="109"/>
      <c r="BC153" s="109"/>
      <c r="BD153" s="109"/>
    </row>
    <row r="154" spans="53:56">
      <c r="BA154" s="109"/>
      <c r="BB154" s="109"/>
      <c r="BC154" s="109"/>
      <c r="BD154" s="109"/>
    </row>
    <row r="155" spans="53:56">
      <c r="BA155" s="109"/>
      <c r="BB155" s="109"/>
      <c r="BC155" s="109"/>
      <c r="BD155" s="109"/>
    </row>
    <row r="156" spans="53:56">
      <c r="BA156" s="109"/>
      <c r="BB156" s="109"/>
      <c r="BC156" s="109"/>
      <c r="BD156" s="109"/>
    </row>
    <row r="157" spans="53:56">
      <c r="BA157" s="109"/>
      <c r="BB157" s="109"/>
      <c r="BC157" s="109"/>
      <c r="BD157" s="109"/>
    </row>
    <row r="161" spans="53:56">
      <c r="BA161" s="109"/>
      <c r="BB161" s="109"/>
      <c r="BC161" s="109"/>
      <c r="BD161" s="109"/>
    </row>
    <row r="162" spans="53:56">
      <c r="BA162" s="109"/>
      <c r="BB162" s="109"/>
      <c r="BC162" s="109"/>
      <c r="BD162" s="109"/>
    </row>
    <row r="163" spans="53:56">
      <c r="BA163" s="109"/>
      <c r="BB163" s="109"/>
      <c r="BC163" s="109"/>
      <c r="BD163" s="109"/>
    </row>
    <row r="164" spans="53:56">
      <c r="BA164" s="109"/>
      <c r="BB164" s="109"/>
      <c r="BC164" s="109"/>
      <c r="BD164" s="109"/>
    </row>
    <row r="165" spans="53:56">
      <c r="BA165" s="109"/>
      <c r="BB165" s="109"/>
      <c r="BC165" s="109"/>
      <c r="BD165" s="109"/>
    </row>
    <row r="166" spans="53:56">
      <c r="BA166" s="109"/>
      <c r="BB166" s="109"/>
      <c r="BC166" s="109"/>
      <c r="BD166" s="109"/>
    </row>
    <row r="167" spans="53:56">
      <c r="BA167" s="109"/>
      <c r="BB167" s="109"/>
      <c r="BC167" s="109"/>
      <c r="BD167" s="109"/>
    </row>
    <row r="168" spans="53:56">
      <c r="BA168" s="109"/>
      <c r="BB168" s="109"/>
      <c r="BC168" s="109"/>
      <c r="BD168" s="109"/>
    </row>
    <row r="169" spans="53:56">
      <c r="BA169" s="109"/>
      <c r="BB169" s="109"/>
      <c r="BC169" s="109"/>
      <c r="BD169" s="109"/>
    </row>
    <row r="170" spans="53:56">
      <c r="BA170" s="109"/>
      <c r="BB170" s="109"/>
      <c r="BC170" s="109"/>
      <c r="BD170" s="109"/>
    </row>
    <row r="171" spans="53:56">
      <c r="BA171" s="109"/>
      <c r="BB171" s="109"/>
      <c r="BC171" s="109"/>
      <c r="BD171" s="109"/>
    </row>
    <row r="172" spans="53:56">
      <c r="BA172" s="109"/>
      <c r="BB172" s="109"/>
      <c r="BC172" s="109"/>
      <c r="BD172" s="109"/>
    </row>
    <row r="173" spans="53:56">
      <c r="BA173" s="109"/>
      <c r="BB173" s="109"/>
      <c r="BC173" s="109"/>
      <c r="BD173" s="109"/>
    </row>
    <row r="174" spans="53:56">
      <c r="BA174" s="109"/>
      <c r="BB174" s="109"/>
      <c r="BC174" s="109"/>
      <c r="BD174" s="109"/>
    </row>
    <row r="175" spans="53:56">
      <c r="BA175" s="109"/>
      <c r="BB175" s="109"/>
      <c r="BC175" s="109"/>
      <c r="BD175" s="109"/>
    </row>
    <row r="176" spans="53:56">
      <c r="BA176" s="109"/>
      <c r="BB176" s="109"/>
      <c r="BC176" s="109"/>
      <c r="BD176" s="109"/>
    </row>
    <row r="177" spans="53:56">
      <c r="BA177" s="109"/>
      <c r="BB177" s="109"/>
      <c r="BC177" s="109"/>
      <c r="BD177" s="109"/>
    </row>
    <row r="178" spans="53:56">
      <c r="BA178" s="109"/>
      <c r="BB178" s="109"/>
      <c r="BC178" s="109"/>
      <c r="BD178" s="109"/>
    </row>
    <row r="179" spans="53:56">
      <c r="BA179" s="109"/>
      <c r="BB179" s="109"/>
      <c r="BC179" s="109"/>
      <c r="BD179" s="109"/>
    </row>
    <row r="180" spans="53:56">
      <c r="BA180" s="109"/>
      <c r="BB180" s="109"/>
      <c r="BC180" s="109"/>
      <c r="BD180" s="109"/>
    </row>
    <row r="181" spans="53:56">
      <c r="BA181" s="109"/>
      <c r="BB181" s="109"/>
      <c r="BC181" s="109"/>
      <c r="BD181" s="109"/>
    </row>
    <row r="182" spans="53:56">
      <c r="BA182" s="109"/>
      <c r="BB182" s="109"/>
      <c r="BC182" s="109"/>
      <c r="BD182" s="109"/>
    </row>
    <row r="183" spans="53:56">
      <c r="BA183" s="109"/>
      <c r="BB183" s="109"/>
      <c r="BC183" s="109"/>
      <c r="BD183" s="109"/>
    </row>
    <row r="184" spans="53:56">
      <c r="BA184" s="109"/>
      <c r="BB184" s="109"/>
      <c r="BC184" s="109"/>
      <c r="BD184" s="109"/>
    </row>
    <row r="185" spans="53:56">
      <c r="BA185" s="109"/>
      <c r="BB185" s="109"/>
      <c r="BC185" s="109"/>
      <c r="BD185" s="109"/>
    </row>
    <row r="186" spans="53:56">
      <c r="BA186" s="109"/>
      <c r="BB186" s="109"/>
      <c r="BC186" s="109"/>
      <c r="BD186" s="109"/>
    </row>
    <row r="187" spans="53:56">
      <c r="BA187" s="109"/>
      <c r="BB187" s="109"/>
      <c r="BC187" s="109"/>
      <c r="BD187" s="109"/>
    </row>
    <row r="188" spans="53:56">
      <c r="BA188" s="109"/>
      <c r="BB188" s="109"/>
      <c r="BC188" s="109"/>
      <c r="BD188" s="109"/>
    </row>
    <row r="189" spans="53:56">
      <c r="BA189" s="109"/>
      <c r="BB189" s="109"/>
      <c r="BC189" s="109"/>
      <c r="BD189" s="109"/>
    </row>
    <row r="190" spans="53:56">
      <c r="BA190" s="109"/>
      <c r="BB190" s="109"/>
      <c r="BC190" s="109"/>
      <c r="BD190" s="109"/>
    </row>
    <row r="191" spans="53:56">
      <c r="BA191" s="109"/>
      <c r="BB191" s="109"/>
      <c r="BC191" s="109"/>
      <c r="BD191" s="109"/>
    </row>
    <row r="192" spans="53:56">
      <c r="BA192" s="109"/>
      <c r="BB192" s="109"/>
      <c r="BC192" s="109"/>
      <c r="BD192" s="109"/>
    </row>
    <row r="193" spans="53:56">
      <c r="BA193" s="109"/>
      <c r="BB193" s="109"/>
      <c r="BC193" s="109"/>
      <c r="BD193" s="109"/>
    </row>
    <row r="194" spans="53:56">
      <c r="BA194" s="109"/>
      <c r="BB194" s="109"/>
      <c r="BC194" s="109"/>
      <c r="BD194" s="109"/>
    </row>
    <row r="195" spans="53:56">
      <c r="BA195" s="109"/>
      <c r="BB195" s="109"/>
      <c r="BC195" s="109"/>
      <c r="BD195" s="109"/>
    </row>
    <row r="196" spans="53:56">
      <c r="BA196" s="109"/>
      <c r="BB196" s="109"/>
      <c r="BC196" s="109"/>
      <c r="BD196" s="109"/>
    </row>
    <row r="197" spans="53:56">
      <c r="BA197" s="109"/>
      <c r="BB197" s="109"/>
      <c r="BC197" s="109"/>
      <c r="BD197" s="109"/>
    </row>
    <row r="198" spans="53:56">
      <c r="BA198" s="109"/>
      <c r="BB198" s="109"/>
      <c r="BC198" s="109"/>
      <c r="BD198" s="109"/>
    </row>
    <row r="199" spans="53:56">
      <c r="BA199" s="109"/>
      <c r="BB199" s="109"/>
      <c r="BC199" s="109"/>
      <c r="BD199" s="109"/>
    </row>
    <row r="200" spans="53:56">
      <c r="BA200" s="109"/>
      <c r="BB200" s="109"/>
      <c r="BC200" s="109"/>
      <c r="BD200" s="109"/>
    </row>
    <row r="201" spans="53:56">
      <c r="BA201" s="109"/>
      <c r="BB201" s="109"/>
      <c r="BC201" s="109"/>
      <c r="BD201" s="109"/>
    </row>
    <row r="202" spans="53:56">
      <c r="BA202" s="109"/>
      <c r="BB202" s="109"/>
      <c r="BC202" s="109"/>
      <c r="BD202" s="109"/>
    </row>
    <row r="203" spans="53:56">
      <c r="BA203" s="109"/>
      <c r="BB203" s="109"/>
      <c r="BC203" s="109"/>
      <c r="BD203" s="109"/>
    </row>
    <row r="204" spans="53:56">
      <c r="BA204" s="109"/>
      <c r="BB204" s="109"/>
      <c r="BC204" s="109"/>
      <c r="BD204" s="109"/>
    </row>
    <row r="205" spans="53:56">
      <c r="BA205" s="109"/>
      <c r="BB205" s="109"/>
      <c r="BC205" s="109"/>
      <c r="BD205" s="109"/>
    </row>
    <row r="206" spans="53:56">
      <c r="BA206" s="109"/>
      <c r="BB206" s="109"/>
      <c r="BC206" s="109"/>
      <c r="BD206" s="109"/>
    </row>
    <row r="207" spans="53:56">
      <c r="BA207" s="109"/>
      <c r="BB207" s="109"/>
      <c r="BC207" s="109"/>
      <c r="BD207" s="109"/>
    </row>
    <row r="208" spans="53:56">
      <c r="BA208" s="109"/>
      <c r="BB208" s="109"/>
      <c r="BC208" s="109"/>
      <c r="BD208" s="109"/>
    </row>
    <row r="209" spans="53:56">
      <c r="BA209" s="109"/>
      <c r="BB209" s="109"/>
      <c r="BC209" s="109"/>
      <c r="BD209" s="109"/>
    </row>
    <row r="210" spans="53:56">
      <c r="BA210" s="109"/>
      <c r="BB210" s="109"/>
      <c r="BC210" s="109"/>
      <c r="BD210" s="109"/>
    </row>
    <row r="211" spans="53:56">
      <c r="BA211" s="109"/>
      <c r="BB211" s="109"/>
      <c r="BC211" s="109"/>
      <c r="BD211" s="109"/>
    </row>
    <row r="212" spans="53:56">
      <c r="BA212" s="109"/>
      <c r="BB212" s="109"/>
      <c r="BC212" s="109"/>
      <c r="BD212" s="109"/>
    </row>
    <row r="213" spans="53:56">
      <c r="BA213" s="109"/>
      <c r="BB213" s="109"/>
      <c r="BC213" s="109"/>
      <c r="BD213" s="109"/>
    </row>
    <row r="214" spans="53:56">
      <c r="BA214" s="109"/>
      <c r="BB214" s="109"/>
      <c r="BC214" s="109"/>
      <c r="BD214" s="109"/>
    </row>
    <row r="215" spans="53:56">
      <c r="BA215" s="109"/>
      <c r="BB215" s="109"/>
      <c r="BC215" s="109"/>
      <c r="BD215" s="109"/>
    </row>
    <row r="216" spans="53:56">
      <c r="BA216" s="109"/>
      <c r="BB216" s="109"/>
      <c r="BC216" s="109"/>
      <c r="BD216" s="109"/>
    </row>
    <row r="217" spans="53:56">
      <c r="BA217" s="109"/>
      <c r="BB217" s="109"/>
      <c r="BC217" s="109"/>
      <c r="BD217" s="109"/>
    </row>
    <row r="218" spans="53:56">
      <c r="BB218" s="109"/>
      <c r="BC218" s="109"/>
      <c r="BD218" s="109"/>
    </row>
    <row r="219" spans="53:56">
      <c r="BB219" s="109"/>
      <c r="BC219" s="109"/>
      <c r="BD219" s="109"/>
    </row>
    <row r="220" spans="53:56">
      <c r="BB220" s="109"/>
      <c r="BC220" s="109"/>
      <c r="BD220" s="109"/>
    </row>
    <row r="221" spans="53:56">
      <c r="BB221" s="109"/>
      <c r="BC221" s="109"/>
      <c r="BD221" s="109"/>
    </row>
    <row r="222" spans="53:56">
      <c r="BB222" s="109"/>
      <c r="BC222" s="109"/>
      <c r="BD222" s="109"/>
    </row>
    <row r="223" spans="53:56">
      <c r="BB223" s="109"/>
      <c r="BC223" s="109"/>
      <c r="BD223" s="109"/>
    </row>
    <row r="224" spans="53:56">
      <c r="BB224" s="109"/>
      <c r="BC224" s="109"/>
      <c r="BD224" s="109"/>
    </row>
    <row r="225" spans="54:56">
      <c r="BB225" s="109"/>
      <c r="BC225" s="109"/>
      <c r="BD225" s="109"/>
    </row>
    <row r="226" spans="54:56">
      <c r="BB226" s="109"/>
      <c r="BC226" s="109"/>
      <c r="BD226" s="109"/>
    </row>
    <row r="227" spans="54:56">
      <c r="BB227" s="109"/>
      <c r="BC227" s="109"/>
      <c r="BD227" s="109"/>
    </row>
    <row r="228" spans="54:56">
      <c r="BB228" s="109"/>
      <c r="BC228" s="109"/>
      <c r="BD228" s="109"/>
    </row>
    <row r="229" spans="54:56">
      <c r="BB229" s="109"/>
      <c r="BC229" s="109"/>
      <c r="BD229" s="109"/>
    </row>
    <row r="230" spans="54:56">
      <c r="BB230" s="109"/>
      <c r="BC230" s="109"/>
      <c r="BD230" s="109"/>
    </row>
    <row r="231" spans="54:56">
      <c r="BB231" s="109"/>
      <c r="BC231" s="109"/>
      <c r="BD231" s="109"/>
    </row>
    <row r="232" spans="54:56">
      <c r="BB232" s="109"/>
      <c r="BC232" s="109"/>
      <c r="BD232" s="109"/>
    </row>
    <row r="233" spans="54:56">
      <c r="BB233" s="109"/>
      <c r="BC233" s="109"/>
      <c r="BD233" s="109"/>
    </row>
    <row r="234" spans="54:56">
      <c r="BB234" s="109"/>
      <c r="BC234" s="109"/>
      <c r="BD234" s="109"/>
    </row>
    <row r="235" spans="54:56">
      <c r="BB235" s="109"/>
      <c r="BC235" s="109"/>
      <c r="BD235" s="109"/>
    </row>
    <row r="236" spans="54:56">
      <c r="BB236" s="109"/>
      <c r="BC236" s="109"/>
      <c r="BD236" s="109"/>
    </row>
    <row r="237" spans="54:56">
      <c r="BB237" s="109"/>
      <c r="BC237" s="109"/>
      <c r="BD237" s="109"/>
    </row>
    <row r="238" spans="54:56">
      <c r="BB238" s="109"/>
      <c r="BC238" s="109"/>
      <c r="BD238" s="109"/>
    </row>
    <row r="239" spans="54:56">
      <c r="BB239" s="109"/>
      <c r="BC239" s="109"/>
      <c r="BD239" s="109"/>
    </row>
    <row r="240" spans="54:56">
      <c r="BB240" s="109"/>
      <c r="BC240" s="109"/>
      <c r="BD240" s="109"/>
    </row>
    <row r="241" spans="54:56">
      <c r="BB241" s="109"/>
      <c r="BC241" s="109"/>
      <c r="BD241" s="109"/>
    </row>
    <row r="242" spans="54:56">
      <c r="BB242" s="109"/>
      <c r="BC242" s="109"/>
      <c r="BD242" s="109"/>
    </row>
    <row r="243" spans="54:56">
      <c r="BB243" s="109"/>
      <c r="BC243" s="109"/>
      <c r="BD243" s="109"/>
    </row>
    <row r="244" spans="54:56">
      <c r="BB244" s="109"/>
      <c r="BC244" s="109"/>
      <c r="BD244" s="109"/>
    </row>
    <row r="245" spans="54:56">
      <c r="BB245" s="109"/>
      <c r="BC245" s="109"/>
      <c r="BD245" s="109"/>
    </row>
    <row r="246" spans="54:56">
      <c r="BB246" s="109"/>
      <c r="BC246" s="109"/>
      <c r="BD246" s="109"/>
    </row>
    <row r="247" spans="54:56">
      <c r="BB247" s="109"/>
      <c r="BC247" s="109"/>
      <c r="BD247" s="109"/>
    </row>
    <row r="248" spans="54:56">
      <c r="BB248" s="109"/>
      <c r="BC248" s="109"/>
      <c r="BD248" s="109"/>
    </row>
    <row r="249" spans="54:56">
      <c r="BB249" s="109"/>
      <c r="BC249" s="109"/>
      <c r="BD249" s="109"/>
    </row>
    <row r="250" spans="54:56">
      <c r="BB250" s="109"/>
      <c r="BC250" s="109"/>
      <c r="BD250" s="109"/>
    </row>
    <row r="251" spans="54:56">
      <c r="BB251" s="109"/>
      <c r="BC251" s="109"/>
      <c r="BD251" s="109"/>
    </row>
    <row r="252" spans="54:56">
      <c r="BB252" s="109"/>
      <c r="BC252" s="109"/>
      <c r="BD252" s="109"/>
    </row>
    <row r="253" spans="54:56">
      <c r="BB253" s="109"/>
      <c r="BC253" s="109"/>
      <c r="BD253" s="109"/>
    </row>
    <row r="254" spans="54:56">
      <c r="BB254" s="109"/>
      <c r="BC254" s="109"/>
      <c r="BD254" s="109"/>
    </row>
    <row r="255" spans="54:56">
      <c r="BB255" s="109"/>
      <c r="BC255" s="109"/>
      <c r="BD255" s="109"/>
    </row>
    <row r="256" spans="54:56">
      <c r="BB256" s="109"/>
      <c r="BC256" s="109"/>
      <c r="BD256" s="109"/>
    </row>
    <row r="257" spans="54:56">
      <c r="BB257" s="109"/>
      <c r="BC257" s="109"/>
      <c r="BD257" s="109"/>
    </row>
    <row r="258" spans="54:56">
      <c r="BB258" s="109"/>
      <c r="BC258" s="109"/>
      <c r="BD258" s="109"/>
    </row>
    <row r="259" spans="54:56">
      <c r="BB259" s="109"/>
      <c r="BC259" s="109"/>
      <c r="BD259" s="109"/>
    </row>
    <row r="260" spans="54:56">
      <c r="BB260" s="109"/>
      <c r="BC260" s="109"/>
      <c r="BD260" s="109"/>
    </row>
    <row r="261" spans="54:56">
      <c r="BB261" s="109"/>
      <c r="BC261" s="109"/>
      <c r="BD261" s="109"/>
    </row>
    <row r="262" spans="54:56">
      <c r="BB262" s="109"/>
      <c r="BC262" s="109"/>
      <c r="BD262" s="109"/>
    </row>
    <row r="263" spans="54:56">
      <c r="BB263" s="109"/>
      <c r="BC263" s="109"/>
      <c r="BD263" s="109"/>
    </row>
    <row r="264" spans="54:56">
      <c r="BB264" s="109"/>
      <c r="BC264" s="109"/>
      <c r="BD264" s="109"/>
    </row>
    <row r="265" spans="54:56">
      <c r="BB265" s="109"/>
      <c r="BC265" s="109"/>
      <c r="BD265" s="109"/>
    </row>
    <row r="266" spans="54:56">
      <c r="BB266" s="109"/>
      <c r="BC266" s="109"/>
      <c r="BD266" s="109"/>
    </row>
    <row r="267" spans="54:56">
      <c r="BB267" s="109"/>
      <c r="BC267" s="109"/>
      <c r="BD267" s="109"/>
    </row>
    <row r="268" spans="54:56">
      <c r="BB268" s="109"/>
      <c r="BC268" s="109"/>
      <c r="BD268" s="109"/>
    </row>
    <row r="269" spans="54:56">
      <c r="BB269" s="109"/>
      <c r="BC269" s="109"/>
      <c r="BD269" s="109"/>
    </row>
    <row r="270" spans="54:56">
      <c r="BB270" s="109"/>
      <c r="BC270" s="109"/>
      <c r="BD270" s="109"/>
    </row>
    <row r="271" spans="54:56">
      <c r="BB271" s="109"/>
      <c r="BC271" s="109"/>
      <c r="BD271" s="109"/>
    </row>
    <row r="272" spans="54:56">
      <c r="BB272" s="109"/>
      <c r="BC272" s="109"/>
      <c r="BD272" s="109"/>
    </row>
    <row r="273" spans="54:56">
      <c r="BB273" s="109"/>
      <c r="BC273" s="109"/>
      <c r="BD273" s="109"/>
    </row>
    <row r="274" spans="54:56">
      <c r="BB274" s="109"/>
      <c r="BC274" s="109"/>
      <c r="BD274" s="109"/>
    </row>
    <row r="275" spans="54:56">
      <c r="BB275" s="109"/>
      <c r="BC275" s="109"/>
      <c r="BD275" s="109"/>
    </row>
    <row r="276" spans="54:56">
      <c r="BB276" s="109"/>
      <c r="BC276" s="109"/>
      <c r="BD276" s="109"/>
    </row>
    <row r="277" spans="54:56">
      <c r="BB277" s="109"/>
      <c r="BC277" s="109"/>
      <c r="BD277" s="109"/>
    </row>
    <row r="278" spans="54:56">
      <c r="BB278" s="109"/>
      <c r="BC278" s="109"/>
      <c r="BD278" s="109"/>
    </row>
    <row r="279" spans="54:56">
      <c r="BB279" s="109"/>
      <c r="BC279" s="109"/>
      <c r="BD279" s="109"/>
    </row>
    <row r="280" spans="54:56">
      <c r="BB280" s="109"/>
      <c r="BC280" s="109"/>
      <c r="BD280" s="109"/>
    </row>
    <row r="281" spans="54:56">
      <c r="BB281" s="109"/>
      <c r="BC281" s="109"/>
      <c r="BD281" s="109"/>
    </row>
    <row r="282" spans="54:56">
      <c r="BB282" s="109"/>
      <c r="BC282" s="109"/>
      <c r="BD282" s="109"/>
    </row>
    <row r="283" spans="54:56">
      <c r="BB283" s="109"/>
      <c r="BC283" s="109"/>
      <c r="BD283" s="109"/>
    </row>
    <row r="284" spans="54:56">
      <c r="BB284" s="109"/>
      <c r="BC284" s="109"/>
      <c r="BD284" s="109"/>
    </row>
    <row r="285" spans="54:56">
      <c r="BB285" s="109"/>
      <c r="BC285" s="109"/>
      <c r="BD285" s="109"/>
    </row>
    <row r="286" spans="54:56">
      <c r="BB286" s="109"/>
      <c r="BC286" s="109"/>
      <c r="BD286" s="109"/>
    </row>
    <row r="287" spans="54:56">
      <c r="BB287" s="109"/>
      <c r="BC287" s="109"/>
      <c r="BD287" s="109"/>
    </row>
    <row r="288" spans="54:56">
      <c r="BB288" s="109"/>
      <c r="BC288" s="109"/>
      <c r="BD288" s="109"/>
    </row>
    <row r="289" spans="54:56">
      <c r="BB289" s="109"/>
      <c r="BC289" s="109"/>
      <c r="BD289" s="109"/>
    </row>
    <row r="290" spans="54:56">
      <c r="BB290" s="109"/>
      <c r="BC290" s="109"/>
      <c r="BD290" s="109"/>
    </row>
    <row r="291" spans="54:56">
      <c r="BB291" s="109"/>
      <c r="BC291" s="109"/>
      <c r="BD291" s="109"/>
    </row>
    <row r="292" spans="54:56">
      <c r="BB292" s="109"/>
      <c r="BC292" s="109"/>
      <c r="BD292" s="109"/>
    </row>
    <row r="293" spans="54:56">
      <c r="BB293" s="109"/>
      <c r="BC293" s="109"/>
      <c r="BD293" s="109"/>
    </row>
    <row r="294" spans="54:56">
      <c r="BB294" s="109"/>
      <c r="BC294" s="109"/>
      <c r="BD294" s="109"/>
    </row>
    <row r="295" spans="54:56">
      <c r="BB295" s="109"/>
      <c r="BC295" s="109"/>
      <c r="BD295" s="109"/>
    </row>
    <row r="296" spans="54:56">
      <c r="BB296" s="109"/>
      <c r="BC296" s="109"/>
      <c r="BD296" s="109"/>
    </row>
    <row r="297" spans="54:56">
      <c r="BB297" s="109"/>
      <c r="BC297" s="109"/>
      <c r="BD297" s="109"/>
    </row>
    <row r="298" spans="54:56">
      <c r="BB298" s="109"/>
      <c r="BC298" s="109"/>
      <c r="BD298" s="109"/>
    </row>
    <row r="299" spans="54:56">
      <c r="BB299" s="109"/>
      <c r="BC299" s="109"/>
      <c r="BD299" s="109"/>
    </row>
    <row r="300" spans="54:56">
      <c r="BB300" s="109"/>
      <c r="BC300" s="109"/>
      <c r="BD300" s="109"/>
    </row>
    <row r="301" spans="54:56">
      <c r="BB301" s="109"/>
      <c r="BC301" s="109"/>
      <c r="BD301" s="109"/>
    </row>
    <row r="302" spans="54:56">
      <c r="BB302" s="109"/>
      <c r="BC302" s="109"/>
      <c r="BD302" s="109"/>
    </row>
    <row r="303" spans="54:56">
      <c r="BB303" s="109"/>
      <c r="BC303" s="109"/>
      <c r="BD303" s="109"/>
    </row>
    <row r="304" spans="54:56">
      <c r="BB304" s="109"/>
      <c r="BC304" s="109"/>
      <c r="BD304" s="109"/>
    </row>
    <row r="305" spans="54:56">
      <c r="BB305" s="109"/>
      <c r="BC305" s="109"/>
      <c r="BD305" s="109"/>
    </row>
  </sheetData>
  <mergeCells count="9">
    <mergeCell ref="AP8:AT8"/>
    <mergeCell ref="AP6:AT6"/>
    <mergeCell ref="AP5:AT5"/>
    <mergeCell ref="AP7:AT7"/>
    <mergeCell ref="BE8:BI8"/>
    <mergeCell ref="AZ5:BD5"/>
    <mergeCell ref="BE5:BI5"/>
    <mergeCell ref="BE6:BI6"/>
    <mergeCell ref="BE7:BI7"/>
  </mergeCells>
  <phoneticPr fontId="60" type="noConversion"/>
  <conditionalFormatting sqref="EN1:IV1 A1:BI1">
    <cfRule type="cellIs" dxfId="7" priority="3" stopIfTrue="1" operator="notEqual">
      <formula>0</formula>
    </cfRule>
  </conditionalFormatting>
  <printOptions horizontalCentered="1"/>
  <pageMargins left="0.7" right="0.7" top="0.75" bottom="0.75" header="0.3" footer="0.3"/>
  <pageSetup scale="75" fitToHeight="2" orientation="portrait" r:id="rId1"/>
  <headerFooter>
    <oddFooter>&amp;L&amp;"Times New Roman,Bold Italic"&amp;12Amounts presented in bold italic type have changed since PSE's Rebuttal Filing as revised February 16, 2012.</oddFooter>
  </headerFooter>
  <rowBreaks count="1" manualBreakCount="1">
    <brk id="69" min="51" max="55" man="1"/>
  </rowBreaks>
  <colBreaks count="19" manualBreakCount="19">
    <brk id="15" max="1048575" man="1"/>
    <brk id="25" max="1048575" man="1"/>
    <brk id="30" max="1048575" man="1"/>
    <brk id="41" max="1048575" man="1"/>
    <brk id="46" max="1048575" man="1"/>
    <brk id="51" max="1048575" man="1"/>
    <brk id="71" max="1048575" man="1"/>
    <brk id="76" max="1048575" man="1"/>
    <brk id="82" max="1048575" man="1"/>
    <brk id="86" max="1048575" man="1"/>
    <brk id="96" max="1048575" man="1"/>
    <brk id="105" max="1048575" man="1"/>
    <brk id="109" max="1048575" man="1"/>
    <brk id="113" max="1048575" man="1"/>
    <brk id="118" max="1048575" man="1"/>
    <brk id="123" max="1048575" man="1"/>
    <brk id="128" max="1048575" man="1"/>
    <brk id="133" max="1048575" man="1"/>
    <brk id="13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 enableFormatConditionsCalculation="0">
    <pageSetUpPr fitToPage="1"/>
  </sheetPr>
  <dimension ref="A1:P87"/>
  <sheetViews>
    <sheetView zoomScale="88" zoomScaleNormal="88" workbookViewId="0">
      <pane xSplit="3" ySplit="15" topLeftCell="D16" activePane="bottomRight" state="frozen"/>
      <selection activeCell="E42" sqref="E42"/>
      <selection pane="topRight" activeCell="E42" sqref="E42"/>
      <selection pane="bottomLeft" activeCell="E42" sqref="E42"/>
      <selection pane="bottomRight" activeCell="K40" sqref="K40"/>
    </sheetView>
  </sheetViews>
  <sheetFormatPr defaultColWidth="10.6640625" defaultRowHeight="12.75"/>
  <cols>
    <col min="1" max="1" width="7.33203125" style="702" bestFit="1" customWidth="1"/>
    <col min="2" max="2" width="11.83203125" style="702" customWidth="1"/>
    <col min="3" max="3" width="38.5" style="702" customWidth="1"/>
    <col min="4" max="4" width="19.33203125" style="702" bestFit="1" customWidth="1"/>
    <col min="5" max="5" width="18.33203125" style="702" bestFit="1" customWidth="1"/>
    <col min="6" max="6" width="15.1640625" style="702" bestFit="1" customWidth="1"/>
    <col min="7" max="7" width="12.83203125" style="702" bestFit="1" customWidth="1"/>
    <col min="8" max="9" width="14.1640625" style="702" bestFit="1" customWidth="1"/>
    <col min="10" max="10" width="14" style="702" bestFit="1" customWidth="1"/>
    <col min="11" max="11" width="13.1640625" style="702" bestFit="1" customWidth="1"/>
    <col min="12" max="12" width="15.6640625" style="702" bestFit="1" customWidth="1"/>
    <col min="13" max="13" width="5" style="702" customWidth="1"/>
    <col min="14" max="14" width="16.33203125" style="702" customWidth="1"/>
    <col min="15" max="15" width="13.83203125" style="702" bestFit="1" customWidth="1"/>
    <col min="16" max="16" width="13.33203125" style="702" bestFit="1" customWidth="1"/>
    <col min="17" max="16384" width="10.6640625" style="702"/>
  </cols>
  <sheetData>
    <row r="1" spans="1:14" ht="13.5" thickBot="1">
      <c r="A1" s="1059"/>
      <c r="N1" s="1" t="s">
        <v>1401</v>
      </c>
    </row>
    <row r="2" spans="1:14" ht="16.5" thickBot="1">
      <c r="D2" s="1483" t="s">
        <v>1491</v>
      </c>
      <c r="E2" s="1484"/>
      <c r="F2" s="1485"/>
      <c r="N2" s="1" t="s">
        <v>1402</v>
      </c>
    </row>
    <row r="3" spans="1:14">
      <c r="A3" s="706" t="s">
        <v>1284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1244"/>
    </row>
    <row r="4" spans="1:14">
      <c r="A4" s="706" t="s">
        <v>248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1245"/>
    </row>
    <row r="5" spans="1:14">
      <c r="A5" s="706" t="str">
        <f>"DETERMINATION OF NET POWER COSTS FOR GRC ADJUSTMENT JHS "&amp;'JHS-20'!E4</f>
        <v>DETERMINATION OF NET POWER COSTS FOR GRC ADJUSTMENT JHS 20.01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</row>
    <row r="6" spans="1:14">
      <c r="A6" s="706" t="s">
        <v>459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</row>
    <row r="7" spans="1:14">
      <c r="A7" s="706" t="s">
        <v>460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</row>
    <row r="8" spans="1:14">
      <c r="A8" s="706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</row>
    <row r="9" spans="1:14">
      <c r="A9" s="706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</row>
    <row r="10" spans="1:14" ht="13.5">
      <c r="A10" s="706"/>
      <c r="B10" s="705"/>
      <c r="C10" s="705"/>
      <c r="D10" s="1135" t="s">
        <v>503</v>
      </c>
      <c r="E10" s="1135" t="s">
        <v>503</v>
      </c>
      <c r="F10" s="1135" t="s">
        <v>503</v>
      </c>
      <c r="G10" s="1135"/>
      <c r="H10" s="705"/>
      <c r="I10" s="1135" t="s">
        <v>503</v>
      </c>
      <c r="J10" s="705"/>
      <c r="K10" s="705"/>
      <c r="L10" s="1135" t="s">
        <v>503</v>
      </c>
      <c r="M10" s="1239"/>
      <c r="N10" s="1135" t="s">
        <v>503</v>
      </c>
    </row>
    <row r="11" spans="1:14" ht="25.5" customHeight="1">
      <c r="D11" s="1002" t="s">
        <v>1425</v>
      </c>
      <c r="E11" s="1002" t="s">
        <v>212</v>
      </c>
      <c r="F11" s="1065" t="s">
        <v>458</v>
      </c>
      <c r="G11" s="1066"/>
      <c r="H11" s="1066"/>
      <c r="I11" s="1067"/>
      <c r="J11" s="1062" t="s">
        <v>1424</v>
      </c>
      <c r="K11" s="1003"/>
      <c r="L11" s="1002" t="s">
        <v>1032</v>
      </c>
      <c r="N11" s="1002" t="str">
        <f>"Per JHS "&amp;'JHS-20'!E4</f>
        <v>Per JHS 20.01</v>
      </c>
    </row>
    <row r="12" spans="1:14">
      <c r="D12" s="763"/>
      <c r="E12" s="756"/>
      <c r="F12" s="765"/>
      <c r="G12" s="765"/>
      <c r="H12" s="765"/>
      <c r="I12" s="765"/>
      <c r="J12" s="763"/>
      <c r="K12" s="765"/>
      <c r="N12" s="763"/>
    </row>
    <row r="13" spans="1:14">
      <c r="D13" s="763" t="s">
        <v>769</v>
      </c>
      <c r="E13" s="756" t="s">
        <v>209</v>
      </c>
      <c r="F13" s="765" t="s">
        <v>1367</v>
      </c>
      <c r="G13" s="765" t="s">
        <v>1368</v>
      </c>
      <c r="H13" s="765" t="s">
        <v>1369</v>
      </c>
      <c r="I13" s="765" t="s">
        <v>1370</v>
      </c>
      <c r="J13" s="763"/>
      <c r="K13" s="765"/>
      <c r="N13" s="763" t="s">
        <v>249</v>
      </c>
    </row>
    <row r="14" spans="1:14">
      <c r="D14" s="763" t="s">
        <v>250</v>
      </c>
      <c r="E14" s="756" t="s">
        <v>210</v>
      </c>
      <c r="F14" s="714" t="s">
        <v>1238</v>
      </c>
      <c r="G14" s="714" t="s">
        <v>454</v>
      </c>
      <c r="H14" s="714" t="s">
        <v>457</v>
      </c>
      <c r="I14" s="714" t="s">
        <v>1239</v>
      </c>
      <c r="J14" s="763" t="s">
        <v>251</v>
      </c>
      <c r="K14" s="714" t="s">
        <v>230</v>
      </c>
      <c r="L14" s="763" t="s">
        <v>252</v>
      </c>
      <c r="M14" s="763"/>
      <c r="N14" s="763" t="s">
        <v>253</v>
      </c>
    </row>
    <row r="15" spans="1:14" ht="13.5">
      <c r="A15" s="767" t="s">
        <v>846</v>
      </c>
      <c r="B15" s="794" t="s">
        <v>254</v>
      </c>
      <c r="C15" s="794" t="s">
        <v>1285</v>
      </c>
      <c r="D15" s="764">
        <v>41394</v>
      </c>
      <c r="E15" s="1058" t="s">
        <v>211</v>
      </c>
      <c r="F15" s="766" t="s">
        <v>453</v>
      </c>
      <c r="G15" s="766" t="s">
        <v>455</v>
      </c>
      <c r="H15" s="766" t="s">
        <v>456</v>
      </c>
      <c r="I15" s="766" t="s">
        <v>1241</v>
      </c>
      <c r="J15" s="767" t="s">
        <v>255</v>
      </c>
      <c r="K15" s="766" t="s">
        <v>885</v>
      </c>
      <c r="L15" s="767" t="s">
        <v>256</v>
      </c>
      <c r="M15" s="768"/>
      <c r="N15" s="1060">
        <f>'Production Factor'!F19</f>
        <v>0.97901000000000005</v>
      </c>
    </row>
    <row r="16" spans="1:14">
      <c r="A16" s="763"/>
      <c r="B16" s="763" t="s">
        <v>784</v>
      </c>
      <c r="C16" s="763" t="s">
        <v>785</v>
      </c>
      <c r="D16" s="763" t="s">
        <v>786</v>
      </c>
      <c r="E16" s="763" t="s">
        <v>213</v>
      </c>
      <c r="F16" s="714" t="s">
        <v>787</v>
      </c>
      <c r="G16" s="714" t="s">
        <v>788</v>
      </c>
      <c r="H16" s="714" t="s">
        <v>789</v>
      </c>
      <c r="I16" s="714" t="s">
        <v>790</v>
      </c>
      <c r="J16" s="763" t="s">
        <v>791</v>
      </c>
      <c r="K16" s="714" t="s">
        <v>792</v>
      </c>
      <c r="L16" s="763" t="s">
        <v>793</v>
      </c>
      <c r="M16" s="768"/>
      <c r="N16" s="756" t="s">
        <v>794</v>
      </c>
    </row>
    <row r="17" spans="1:16">
      <c r="A17" s="763">
        <v>1</v>
      </c>
      <c r="B17" s="702" t="s">
        <v>257</v>
      </c>
      <c r="F17" s="776"/>
      <c r="G17" s="776"/>
      <c r="H17" s="776"/>
      <c r="I17" s="776"/>
      <c r="K17" s="776"/>
      <c r="M17" s="779"/>
    </row>
    <row r="18" spans="1:16" ht="13.5">
      <c r="A18" s="763">
        <f t="shared" ref="A18:A73" si="0">A17+1</f>
        <v>2</v>
      </c>
      <c r="B18" s="763">
        <v>501</v>
      </c>
      <c r="C18" s="795" t="s">
        <v>258</v>
      </c>
      <c r="D18" s="1107">
        <f>'DEM RY PC'!P10*1000</f>
        <v>89725748.886854067</v>
      </c>
      <c r="E18" s="769"/>
      <c r="F18" s="769"/>
      <c r="G18" s="769"/>
      <c r="H18" s="769"/>
      <c r="I18" s="1107">
        <f>-SUM('JHS-20'!AX47)</f>
        <v>-500000.00000000006</v>
      </c>
      <c r="J18" s="769">
        <v>0</v>
      </c>
      <c r="K18" s="769"/>
      <c r="L18" s="1107">
        <f>SUM(D18:K18)</f>
        <v>89225748.886854067</v>
      </c>
      <c r="M18" s="769"/>
      <c r="N18" s="1107">
        <f>L18*$N$15</f>
        <v>87352900.417719007</v>
      </c>
    </row>
    <row r="19" spans="1:16" ht="13.5">
      <c r="A19" s="763">
        <f t="shared" si="0"/>
        <v>3</v>
      </c>
      <c r="B19" s="763">
        <v>547</v>
      </c>
      <c r="C19" s="795" t="s">
        <v>259</v>
      </c>
      <c r="D19" s="1108">
        <f>'DEM RY PC'!P11*1000</f>
        <v>184028409.60315043</v>
      </c>
      <c r="E19" s="1108">
        <f>-E30</f>
        <v>0</v>
      </c>
      <c r="F19" s="770"/>
      <c r="G19" s="770"/>
      <c r="H19" s="770"/>
      <c r="I19" s="770">
        <f>-SUM('JHS-20'!AX43:AX44)</f>
        <v>929795.88025889965</v>
      </c>
      <c r="J19" s="772">
        <v>0</v>
      </c>
      <c r="K19" s="770"/>
      <c r="L19" s="1113">
        <f>SUM(D19:K19)</f>
        <v>184958205.48340932</v>
      </c>
      <c r="M19" s="774"/>
      <c r="N19" s="1113">
        <f>L19*$N$15</f>
        <v>181075932.75031257</v>
      </c>
    </row>
    <row r="20" spans="1:16" ht="13.5">
      <c r="A20" s="763">
        <f t="shared" si="0"/>
        <v>4</v>
      </c>
      <c r="C20" s="795"/>
      <c r="D20" s="1365">
        <f>SUM(D18:D19)</f>
        <v>273754158.49000448</v>
      </c>
      <c r="E20" s="1365">
        <f>SUM(E18:E19)</f>
        <v>0</v>
      </c>
      <c r="F20" s="1366">
        <f>SUM(F18:F19)</f>
        <v>0</v>
      </c>
      <c r="G20" s="1366"/>
      <c r="H20" s="1366"/>
      <c r="I20" s="1365">
        <f>SUM(I18:I19)</f>
        <v>429795.88025889959</v>
      </c>
      <c r="J20" s="1367">
        <f>SUM(J18:J19)</f>
        <v>0</v>
      </c>
      <c r="K20" s="1367">
        <f>SUM(K18:K19)</f>
        <v>0</v>
      </c>
      <c r="L20" s="1368">
        <f>SUM(L18:L19)</f>
        <v>274183954.3702634</v>
      </c>
      <c r="M20" s="774"/>
      <c r="N20" s="1365">
        <f>SUM(N18:N19)</f>
        <v>268428833.16803157</v>
      </c>
    </row>
    <row r="21" spans="1:16">
      <c r="A21" s="763">
        <f t="shared" si="0"/>
        <v>5</v>
      </c>
      <c r="B21" s="702" t="s">
        <v>260</v>
      </c>
      <c r="D21" s="1366"/>
      <c r="E21" s="1366"/>
      <c r="F21" s="1366"/>
      <c r="G21" s="1366"/>
      <c r="H21" s="1366"/>
      <c r="I21" s="1366"/>
      <c r="J21" s="1367"/>
      <c r="K21" s="1366"/>
      <c r="L21" s="1367"/>
      <c r="M21" s="774"/>
      <c r="N21" s="1366"/>
    </row>
    <row r="22" spans="1:16" ht="13.5">
      <c r="A22" s="763">
        <f t="shared" si="0"/>
        <v>6</v>
      </c>
      <c r="B22" s="763">
        <v>555</v>
      </c>
      <c r="C22" s="795" t="s">
        <v>261</v>
      </c>
      <c r="D22" s="1108">
        <f>'DEM RY PC'!P12*1000</f>
        <v>477042403.0775758</v>
      </c>
      <c r="E22" s="770"/>
      <c r="F22" s="770">
        <f>-'JHS-20'!I28</f>
        <v>-776099.49929999991</v>
      </c>
      <c r="G22" s="770"/>
      <c r="H22" s="770">
        <f>-'JHS-20'!AS28</f>
        <v>-7088065.5894999942</v>
      </c>
      <c r="I22" s="722">
        <f>-(+'JHS-20'!AX38)</f>
        <v>-3526620</v>
      </c>
      <c r="J22" s="772">
        <v>0</v>
      </c>
      <c r="K22" s="722"/>
      <c r="L22" s="1113">
        <f>SUM(D22:K22)</f>
        <v>465651617.98877579</v>
      </c>
      <c r="M22" s="774"/>
      <c r="N22" s="1108">
        <f>L22*$N$15</f>
        <v>455877590.5271914</v>
      </c>
    </row>
    <row r="23" spans="1:16" s="776" customFormat="1">
      <c r="A23" s="763">
        <f t="shared" si="0"/>
        <v>7</v>
      </c>
      <c r="B23" s="796"/>
      <c r="C23" s="797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77"/>
    </row>
    <row r="24" spans="1:16">
      <c r="A24" s="763">
        <f t="shared" si="0"/>
        <v>8</v>
      </c>
      <c r="B24" s="763">
        <v>557</v>
      </c>
      <c r="C24" s="795" t="s">
        <v>262</v>
      </c>
      <c r="D24" s="770">
        <f>'DEM RY PC'!P13*1000</f>
        <v>8029302.9499999983</v>
      </c>
      <c r="E24" s="770"/>
      <c r="F24" s="770"/>
      <c r="G24" s="770"/>
      <c r="H24" s="770"/>
      <c r="I24" s="770"/>
      <c r="J24" s="770">
        <f>-'EB&amp;Taxes'!D9</f>
        <v>-1369203.65</v>
      </c>
      <c r="K24" s="770"/>
      <c r="L24" s="772">
        <f>SUM(D24:K24)</f>
        <v>6660099.2999999989</v>
      </c>
      <c r="M24" s="774"/>
      <c r="N24" s="770">
        <f>L24*$N$15</f>
        <v>6520303.8156929994</v>
      </c>
      <c r="O24" s="777"/>
    </row>
    <row r="25" spans="1:16">
      <c r="A25" s="763">
        <f t="shared" si="0"/>
        <v>9</v>
      </c>
      <c r="B25" s="763"/>
      <c r="C25" s="795" t="s">
        <v>885</v>
      </c>
      <c r="D25" s="770">
        <v>0</v>
      </c>
      <c r="E25" s="770"/>
      <c r="F25" s="770"/>
      <c r="G25" s="770"/>
      <c r="H25" s="770"/>
      <c r="I25" s="770"/>
      <c r="J25" s="770"/>
      <c r="K25" s="770">
        <v>1451371.7</v>
      </c>
      <c r="L25" s="772">
        <f>SUM(D25:K25)</f>
        <v>1451371.7</v>
      </c>
      <c r="M25" s="774"/>
      <c r="N25" s="770">
        <f>L25*$N$15</f>
        <v>1420907.408017</v>
      </c>
    </row>
    <row r="26" spans="1:16" ht="13.5">
      <c r="A26" s="763">
        <f t="shared" si="0"/>
        <v>10</v>
      </c>
      <c r="C26" s="798"/>
      <c r="D26" s="1365">
        <f>SUM(D22:D25)</f>
        <v>485071706.02757579</v>
      </c>
      <c r="E26" s="1366">
        <f>SUM(E22:E25)</f>
        <v>0</v>
      </c>
      <c r="F26" s="1366">
        <f t="shared" ref="F26:N26" si="1">SUM(F22:F25)</f>
        <v>-776099.49929999991</v>
      </c>
      <c r="G26" s="1366">
        <f t="shared" si="1"/>
        <v>0</v>
      </c>
      <c r="H26" s="1367">
        <f t="shared" si="1"/>
        <v>-7088065.5894999942</v>
      </c>
      <c r="I26" s="1367">
        <f t="shared" si="1"/>
        <v>-3526620</v>
      </c>
      <c r="J26" s="1366">
        <f>SUM(J22:J25)</f>
        <v>-1369203.65</v>
      </c>
      <c r="K26" s="1367">
        <f t="shared" si="1"/>
        <v>1451371.7</v>
      </c>
      <c r="L26" s="1368">
        <f>SUM(L22:L25)</f>
        <v>473763088.98877579</v>
      </c>
      <c r="M26" s="774"/>
      <c r="N26" s="1368">
        <f t="shared" si="1"/>
        <v>463818801.7509014</v>
      </c>
      <c r="O26" s="778"/>
      <c r="P26" s="778"/>
    </row>
    <row r="27" spans="1:16">
      <c r="A27" s="763">
        <f t="shared" si="0"/>
        <v>11</v>
      </c>
      <c r="C27" s="798"/>
      <c r="D27" s="1366"/>
      <c r="E27" s="1366"/>
      <c r="F27" s="1366"/>
      <c r="G27" s="1366"/>
      <c r="H27" s="1366"/>
      <c r="I27" s="1366"/>
      <c r="J27" s="1366"/>
      <c r="K27" s="1366"/>
      <c r="L27" s="1367"/>
      <c r="M27" s="774"/>
      <c r="N27" s="1366"/>
    </row>
    <row r="28" spans="1:16" ht="13.5">
      <c r="A28" s="763">
        <f t="shared" si="0"/>
        <v>12</v>
      </c>
      <c r="B28" s="763">
        <v>565</v>
      </c>
      <c r="C28" s="702" t="s">
        <v>263</v>
      </c>
      <c r="D28" s="1109">
        <f>'DEM RY PC'!P14*1000</f>
        <v>92328589.550906271</v>
      </c>
      <c r="E28" s="722"/>
      <c r="F28" s="1109">
        <f>-'JHS-20'!I29</f>
        <v>-6884867.0464579072</v>
      </c>
      <c r="G28" s="722">
        <f>-'JHS-20'!O27</f>
        <v>-420202.58515248541</v>
      </c>
      <c r="H28" s="722"/>
      <c r="I28" s="722">
        <f>-(+'JHS-20'!AX42+'JHS-20'!AX40)</f>
        <v>0</v>
      </c>
      <c r="J28" s="770">
        <v>0</v>
      </c>
      <c r="K28" s="722"/>
      <c r="L28" s="1108">
        <f>SUM(D28:K28)</f>
        <v>85023519.919295877</v>
      </c>
      <c r="M28" s="722"/>
      <c r="N28" s="1108">
        <f>L28*$N$15</f>
        <v>83238876.236189857</v>
      </c>
    </row>
    <row r="29" spans="1:16">
      <c r="A29" s="763">
        <f t="shared" si="0"/>
        <v>13</v>
      </c>
      <c r="D29" s="770"/>
      <c r="E29" s="770"/>
      <c r="F29" s="770"/>
      <c r="G29" s="770"/>
      <c r="H29" s="770"/>
      <c r="I29" s="770"/>
      <c r="J29" s="770"/>
      <c r="K29" s="770"/>
      <c r="L29" s="772">
        <f>SUM(D29:K29)</f>
        <v>0</v>
      </c>
      <c r="M29" s="774"/>
      <c r="N29" s="770"/>
    </row>
    <row r="30" spans="1:16" s="779" customFormat="1" ht="13.5">
      <c r="A30" s="768">
        <f t="shared" si="0"/>
        <v>14</v>
      </c>
      <c r="B30" s="768" t="s">
        <v>839</v>
      </c>
      <c r="C30" s="779" t="s">
        <v>264</v>
      </c>
      <c r="D30" s="1109">
        <f>'DEM RY PC'!P28*1000</f>
        <v>133613385.29825684</v>
      </c>
      <c r="E30" s="1109">
        <v>0</v>
      </c>
      <c r="F30" s="722">
        <f>-'ProdO&amp;M'!F49</f>
        <v>-10891023</v>
      </c>
      <c r="G30" s="722"/>
      <c r="H30" s="722"/>
      <c r="I30" s="1109">
        <f>-SUM('JHS-20'!AX50:AX54)</f>
        <v>-152585.85869565216</v>
      </c>
      <c r="J30" s="722">
        <f>-'EB&amp;Taxes'!D8</f>
        <v>-6849513.4899999993</v>
      </c>
      <c r="K30" s="722"/>
      <c r="L30" s="1113">
        <f>SUM(D30:K30)</f>
        <v>115720262.94956119</v>
      </c>
      <c r="M30" s="774"/>
      <c r="N30" s="1108">
        <f>L30*$N$15</f>
        <v>113291294.6302499</v>
      </c>
    </row>
    <row r="31" spans="1:16" s="779" customFormat="1">
      <c r="A31" s="768">
        <f t="shared" si="0"/>
        <v>15</v>
      </c>
      <c r="B31" s="768"/>
      <c r="D31" s="722"/>
      <c r="E31" s="722"/>
      <c r="F31" s="722"/>
      <c r="G31" s="722"/>
      <c r="H31" s="722"/>
      <c r="I31" s="722"/>
      <c r="J31" s="722"/>
      <c r="K31" s="722"/>
      <c r="L31" s="774"/>
      <c r="M31" s="774"/>
      <c r="N31" s="722"/>
    </row>
    <row r="32" spans="1:16">
      <c r="A32" s="763">
        <f t="shared" si="0"/>
        <v>16</v>
      </c>
      <c r="B32" s="763" t="s">
        <v>839</v>
      </c>
      <c r="C32" s="702" t="s">
        <v>265</v>
      </c>
      <c r="D32" s="770">
        <f>'DEM RY PC'!P29*1000</f>
        <v>1419635</v>
      </c>
      <c r="E32" s="770"/>
      <c r="F32" s="770"/>
      <c r="G32" s="770"/>
      <c r="H32" s="770"/>
      <c r="I32" s="770"/>
      <c r="J32" s="770"/>
      <c r="K32" s="770"/>
      <c r="L32" s="772">
        <f>SUM(D32:K32)</f>
        <v>1419635</v>
      </c>
      <c r="M32" s="774"/>
      <c r="N32" s="770">
        <f>L32*$N$15</f>
        <v>1389836.8613500001</v>
      </c>
    </row>
    <row r="33" spans="1:14" ht="13.5">
      <c r="A33" s="763">
        <f t="shared" si="0"/>
        <v>17</v>
      </c>
      <c r="B33" s="763">
        <v>447</v>
      </c>
      <c r="C33" s="702" t="s">
        <v>297</v>
      </c>
      <c r="D33" s="1108">
        <f>'DEM RY PC'!P15*1000</f>
        <v>-41024834.635442719</v>
      </c>
      <c r="E33" s="770"/>
      <c r="F33" s="770"/>
      <c r="G33" s="770"/>
      <c r="H33" s="772"/>
      <c r="I33" s="772"/>
      <c r="J33" s="770"/>
      <c r="K33" s="772"/>
      <c r="L33" s="1113">
        <f>SUM(D33:K33)</f>
        <v>-41024834.635442719</v>
      </c>
      <c r="M33" s="774"/>
      <c r="N33" s="1108">
        <f>L33*$N$15</f>
        <v>-40163723.356444776</v>
      </c>
    </row>
    <row r="34" spans="1:14">
      <c r="A34" s="763">
        <f t="shared" si="0"/>
        <v>18</v>
      </c>
      <c r="B34" s="763">
        <v>456</v>
      </c>
      <c r="C34" s="702" t="s">
        <v>298</v>
      </c>
      <c r="D34" s="770">
        <f>'DEM RY PC'!P17*1000</f>
        <v>0</v>
      </c>
      <c r="E34" s="770"/>
      <c r="F34" s="770"/>
      <c r="G34" s="770"/>
      <c r="H34" s="772"/>
      <c r="I34" s="772"/>
      <c r="J34" s="770"/>
      <c r="K34" s="772"/>
      <c r="L34" s="772">
        <f>SUM(D34:K34)</f>
        <v>0</v>
      </c>
      <c r="M34" s="774"/>
      <c r="N34" s="770">
        <f>L34*$N$15</f>
        <v>0</v>
      </c>
    </row>
    <row r="35" spans="1:14" ht="13.5">
      <c r="A35" s="763">
        <f t="shared" si="0"/>
        <v>19</v>
      </c>
      <c r="D35" s="1369">
        <f t="shared" ref="D35:K35" si="2">SUM(D32:D34)</f>
        <v>-39605199.635442719</v>
      </c>
      <c r="E35" s="1370">
        <f t="shared" si="2"/>
        <v>0</v>
      </c>
      <c r="F35" s="1370">
        <f t="shared" si="2"/>
        <v>0</v>
      </c>
      <c r="G35" s="1370">
        <f t="shared" si="2"/>
        <v>0</v>
      </c>
      <c r="H35" s="1371">
        <f t="shared" si="2"/>
        <v>0</v>
      </c>
      <c r="I35" s="1371">
        <f>SUM(I32:I34)</f>
        <v>0</v>
      </c>
      <c r="J35" s="1370">
        <f t="shared" si="2"/>
        <v>0</v>
      </c>
      <c r="K35" s="1371">
        <f t="shared" si="2"/>
        <v>0</v>
      </c>
      <c r="L35" s="1372">
        <f>SUM(L32:L34)</f>
        <v>-39605199.635442719</v>
      </c>
      <c r="M35" s="780"/>
      <c r="N35" s="1369">
        <f>SUM(N32:N34)</f>
        <v>-38773886.495094776</v>
      </c>
    </row>
    <row r="36" spans="1:14">
      <c r="A36" s="763">
        <f t="shared" si="0"/>
        <v>20</v>
      </c>
      <c r="D36" s="776"/>
      <c r="E36" s="776"/>
      <c r="F36" s="776"/>
      <c r="G36" s="776"/>
      <c r="J36" s="776"/>
      <c r="M36" s="779"/>
      <c r="N36" s="776"/>
    </row>
    <row r="37" spans="1:14" ht="13.5">
      <c r="A37" s="763">
        <f t="shared" si="0"/>
        <v>21</v>
      </c>
      <c r="B37" s="702" t="s">
        <v>1134</v>
      </c>
      <c r="D37" s="1109">
        <f t="shared" ref="D37:L37" si="3">D20+D26+D28+D30+D35</f>
        <v>945162639.73130071</v>
      </c>
      <c r="E37" s="722">
        <f>E20+E26+E28+E30+E35</f>
        <v>0</v>
      </c>
      <c r="F37" s="1109">
        <f t="shared" si="3"/>
        <v>-18551989.545757908</v>
      </c>
      <c r="G37" s="722">
        <f t="shared" si="3"/>
        <v>-420202.58515248541</v>
      </c>
      <c r="H37" s="774">
        <f t="shared" si="3"/>
        <v>-7088065.5894999942</v>
      </c>
      <c r="I37" s="1114">
        <f t="shared" si="3"/>
        <v>-3249409.9784367527</v>
      </c>
      <c r="J37" s="722">
        <f t="shared" si="3"/>
        <v>-8218717.1399999987</v>
      </c>
      <c r="K37" s="774">
        <f t="shared" si="3"/>
        <v>1451371.7</v>
      </c>
      <c r="L37" s="1114">
        <f t="shared" si="3"/>
        <v>909085626.5924536</v>
      </c>
      <c r="M37" s="774"/>
      <c r="N37" s="1109">
        <f>N20+N26+N28+N30+N35</f>
        <v>890003919.29027784</v>
      </c>
    </row>
    <row r="38" spans="1:14" ht="13.5">
      <c r="A38" s="763">
        <f t="shared" si="0"/>
        <v>22</v>
      </c>
      <c r="B38" s="763" t="s">
        <v>839</v>
      </c>
      <c r="C38" s="702" t="s">
        <v>771</v>
      </c>
      <c r="D38" s="1111">
        <f>TransmRev!D42</f>
        <v>-14018204.653333331</v>
      </c>
      <c r="E38" s="1000"/>
      <c r="F38" s="1000"/>
      <c r="G38" s="1000"/>
      <c r="H38" s="1001"/>
      <c r="I38" s="1001"/>
      <c r="J38" s="1000"/>
      <c r="K38" s="772"/>
      <c r="L38" s="1113">
        <f>SUM(D38:K38)</f>
        <v>-14018204.653333331</v>
      </c>
      <c r="M38" s="774"/>
      <c r="N38" s="1193">
        <f>L38*$N$15</f>
        <v>-13723962.537659865</v>
      </c>
    </row>
    <row r="39" spans="1:14">
      <c r="A39" s="763">
        <f t="shared" si="0"/>
        <v>23</v>
      </c>
      <c r="D39" s="1068"/>
      <c r="E39" s="1068"/>
      <c r="F39" s="1068"/>
      <c r="G39" s="1068"/>
      <c r="H39" s="779"/>
      <c r="I39" s="779"/>
      <c r="J39" s="1068"/>
      <c r="K39" s="1373"/>
      <c r="L39" s="1373"/>
      <c r="M39" s="779"/>
      <c r="N39" s="1373"/>
    </row>
    <row r="40" spans="1:14" ht="14.25" thickBot="1">
      <c r="A40" s="763">
        <f t="shared" si="0"/>
        <v>24</v>
      </c>
      <c r="B40" s="702" t="str">
        <f>"Col k = amount of adjustment on JHS "&amp;'JHS-20'!E4&amp;" Line 23"</f>
        <v>Col k = amount of adjustment on JHS 20.01 Line 23</v>
      </c>
      <c r="D40" s="1110">
        <f>SUM(D37:D39)</f>
        <v>931144435.07796741</v>
      </c>
      <c r="E40" s="761">
        <f>SUM(E37:E39)</f>
        <v>0</v>
      </c>
      <c r="F40" s="1110">
        <f t="shared" ref="F40:L40" si="4">SUM(F37:F39)</f>
        <v>-18551989.545757908</v>
      </c>
      <c r="G40" s="761">
        <f t="shared" si="4"/>
        <v>-420202.58515248541</v>
      </c>
      <c r="H40" s="781">
        <f t="shared" si="4"/>
        <v>-7088065.5894999942</v>
      </c>
      <c r="I40" s="1112">
        <f t="shared" si="4"/>
        <v>-3249409.9784367527</v>
      </c>
      <c r="J40" s="1064">
        <f>SUM(J37:J39)</f>
        <v>-8218717.1399999987</v>
      </c>
      <c r="K40" s="781">
        <f t="shared" si="4"/>
        <v>1451371.7</v>
      </c>
      <c r="L40" s="1112">
        <f t="shared" si="4"/>
        <v>895067421.93912029</v>
      </c>
      <c r="M40" s="771"/>
      <c r="N40" s="1112">
        <f>SUM(N37:N39)</f>
        <v>876279956.75261796</v>
      </c>
    </row>
    <row r="41" spans="1:14" ht="14.25" thickTop="1" thickBot="1">
      <c r="A41" s="799">
        <f t="shared" si="0"/>
        <v>25</v>
      </c>
      <c r="B41" s="791"/>
      <c r="C41" s="791"/>
      <c r="D41" s="781"/>
      <c r="E41" s="781"/>
      <c r="F41" s="781"/>
      <c r="G41" s="781"/>
      <c r="H41" s="782"/>
      <c r="I41" s="782"/>
      <c r="J41" s="1063"/>
      <c r="K41" s="782"/>
      <c r="L41" s="782"/>
      <c r="M41" s="781"/>
      <c r="N41" s="783">
        <f>ROUND(N40+'JHS-20'!D35,0)</f>
        <v>0</v>
      </c>
    </row>
    <row r="42" spans="1:14" ht="13.5" thickTop="1">
      <c r="A42" s="768"/>
      <c r="B42" s="779"/>
      <c r="C42" s="779"/>
      <c r="D42" s="771"/>
      <c r="E42" s="771"/>
      <c r="F42" s="771"/>
      <c r="G42" s="771"/>
      <c r="H42" s="771"/>
      <c r="I42" s="771"/>
      <c r="J42" s="1068"/>
      <c r="K42" s="771"/>
      <c r="L42" s="771"/>
      <c r="M42" s="771"/>
      <c r="N42" s="771"/>
    </row>
    <row r="43" spans="1:14">
      <c r="A43" s="768"/>
      <c r="B43" s="779"/>
      <c r="C43" s="779"/>
      <c r="D43" s="771"/>
      <c r="E43" s="771"/>
      <c r="F43" s="771"/>
      <c r="G43" s="771"/>
      <c r="H43" s="771"/>
      <c r="I43" s="771"/>
      <c r="J43" s="1068"/>
      <c r="K43" s="771"/>
      <c r="L43" s="771"/>
      <c r="M43" s="771"/>
      <c r="N43" s="1068"/>
    </row>
    <row r="44" spans="1:14" hidden="1">
      <c r="A44" s="796">
        <f>A41+1</f>
        <v>26</v>
      </c>
      <c r="B44" s="784"/>
      <c r="C44" s="1068"/>
      <c r="D44" s="745"/>
      <c r="E44" s="1068"/>
      <c r="F44" s="784"/>
      <c r="G44" s="784"/>
      <c r="H44" s="784"/>
      <c r="I44" s="784"/>
      <c r="J44" s="784"/>
      <c r="K44" s="784"/>
      <c r="L44" s="785"/>
      <c r="M44" s="784"/>
      <c r="N44" s="784"/>
    </row>
    <row r="45" spans="1:14" hidden="1">
      <c r="A45" s="763">
        <f>A44+1</f>
        <v>27</v>
      </c>
      <c r="B45" s="705" t="s">
        <v>70</v>
      </c>
      <c r="C45" s="705"/>
      <c r="D45" s="705"/>
      <c r="E45" s="705"/>
      <c r="F45" s="705"/>
      <c r="G45" s="705"/>
      <c r="H45" s="705"/>
      <c r="I45" s="705"/>
      <c r="J45" s="785"/>
      <c r="K45" s="705"/>
      <c r="L45" s="786"/>
      <c r="M45" s="786"/>
      <c r="N45" s="786"/>
    </row>
    <row r="46" spans="1:14" hidden="1">
      <c r="A46" s="763">
        <f t="shared" si="0"/>
        <v>28</v>
      </c>
      <c r="B46" s="1068" t="s">
        <v>71</v>
      </c>
      <c r="L46" s="786"/>
      <c r="M46" s="786"/>
      <c r="N46" s="786"/>
    </row>
    <row r="47" spans="1:14" hidden="1">
      <c r="A47" s="763">
        <f t="shared" si="0"/>
        <v>29</v>
      </c>
      <c r="B47" s="798" t="s">
        <v>1246</v>
      </c>
      <c r="D47" s="787"/>
      <c r="E47" s="787"/>
      <c r="F47" s="787"/>
      <c r="G47" s="787"/>
      <c r="H47" s="787"/>
      <c r="I47" s="787"/>
      <c r="J47" s="774">
        <f>ROUND(L47-D37,0)</f>
        <v>0</v>
      </c>
      <c r="K47" s="787"/>
      <c r="L47" s="788">
        <f>ROUND('DEM RY PC'!P30*1000,0)</f>
        <v>945162640</v>
      </c>
      <c r="M47" s="779"/>
      <c r="N47" s="788">
        <f t="shared" ref="N47:N53" si="5">L47*$N$15</f>
        <v>925323676.18640006</v>
      </c>
    </row>
    <row r="48" spans="1:14" hidden="1">
      <c r="A48" s="763">
        <f t="shared" si="0"/>
        <v>30</v>
      </c>
      <c r="B48" s="1068" t="s">
        <v>68</v>
      </c>
      <c r="L48" s="772">
        <f>J40</f>
        <v>-8218717.1399999987</v>
      </c>
      <c r="N48" s="772">
        <f t="shared" si="5"/>
        <v>-8046206.2672313992</v>
      </c>
    </row>
    <row r="49" spans="1:14" hidden="1">
      <c r="A49" s="763">
        <f t="shared" si="0"/>
        <v>31</v>
      </c>
      <c r="B49" s="1068" t="s">
        <v>60</v>
      </c>
      <c r="L49" s="778">
        <f>L38</f>
        <v>-14018204.653333331</v>
      </c>
      <c r="N49" s="772">
        <f t="shared" si="5"/>
        <v>-13723962.537659865</v>
      </c>
    </row>
    <row r="50" spans="1:14" hidden="1">
      <c r="A50" s="763">
        <f t="shared" si="0"/>
        <v>32</v>
      </c>
      <c r="B50" s="1068" t="s">
        <v>62</v>
      </c>
      <c r="L50" s="778">
        <f>I40</f>
        <v>-3249409.9784367527</v>
      </c>
      <c r="N50" s="772">
        <f t="shared" si="5"/>
        <v>-3181204.8629893656</v>
      </c>
    </row>
    <row r="51" spans="1:14" hidden="1">
      <c r="A51" s="763">
        <f t="shared" si="0"/>
        <v>33</v>
      </c>
      <c r="B51" s="1068" t="s">
        <v>686</v>
      </c>
      <c r="L51" s="778">
        <f>H40</f>
        <v>-7088065.5894999942</v>
      </c>
      <c r="N51" s="772">
        <f t="shared" si="5"/>
        <v>-6939287.0927763898</v>
      </c>
    </row>
    <row r="52" spans="1:14" hidden="1">
      <c r="A52" s="763">
        <f t="shared" si="0"/>
        <v>34</v>
      </c>
      <c r="B52" s="1068" t="s">
        <v>69</v>
      </c>
      <c r="L52" s="778">
        <f>+F40+G40</f>
        <v>-18972192.130910393</v>
      </c>
      <c r="N52" s="772">
        <f t="shared" si="5"/>
        <v>-18573965.818082586</v>
      </c>
    </row>
    <row r="53" spans="1:14" hidden="1">
      <c r="A53" s="763">
        <f t="shared" si="0"/>
        <v>35</v>
      </c>
      <c r="B53" s="1068" t="s">
        <v>61</v>
      </c>
      <c r="L53" s="778">
        <f>K40</f>
        <v>1451371.7</v>
      </c>
      <c r="N53" s="772">
        <f t="shared" si="5"/>
        <v>1420907.408017</v>
      </c>
    </row>
    <row r="54" spans="1:14" ht="13.5" hidden="1" thickBot="1">
      <c r="A54" s="763">
        <f t="shared" si="0"/>
        <v>36</v>
      </c>
      <c r="B54" s="1068" t="str">
        <f>'JHS-20'!A6&amp;" -- LINE "&amp;'JHS-20'!A35</f>
        <v>POWER COSTS -- LINE 23</v>
      </c>
      <c r="L54" s="789">
        <f>SUM(L47:L53)</f>
        <v>895067422.2078197</v>
      </c>
      <c r="N54" s="789">
        <f>SUM(N47:N53)</f>
        <v>876279957.01567757</v>
      </c>
    </row>
    <row r="55" spans="1:14" ht="13.5" hidden="1" thickTop="1">
      <c r="A55" s="763">
        <f t="shared" si="0"/>
        <v>37</v>
      </c>
      <c r="L55" s="788"/>
      <c r="N55" s="790"/>
    </row>
    <row r="56" spans="1:14" hidden="1">
      <c r="A56" s="763">
        <f t="shared" si="0"/>
        <v>38</v>
      </c>
      <c r="B56" s="1068" t="s">
        <v>72</v>
      </c>
      <c r="L56" s="788"/>
      <c r="N56" s="790"/>
    </row>
    <row r="57" spans="1:14" hidden="1">
      <c r="A57" s="763">
        <f t="shared" si="0"/>
        <v>39</v>
      </c>
      <c r="B57" s="798" t="str">
        <f>B54</f>
        <v>POWER COSTS -- LINE 23</v>
      </c>
      <c r="L57" s="788">
        <f>L54</f>
        <v>895067422.2078197</v>
      </c>
      <c r="N57" s="788">
        <f>N54</f>
        <v>876279957.01567757</v>
      </c>
    </row>
    <row r="58" spans="1:14" hidden="1">
      <c r="A58" s="763">
        <f t="shared" si="0"/>
        <v>40</v>
      </c>
      <c r="B58" s="798" t="str">
        <f>'JHS-20'!AU6&amp;" (ONLY THE AMORTIZATIONS THAT ARE CHARGED TO POWER COSTS)"</f>
        <v>REGULATORY ASSETS AND LIABILITIES (ONLY THE AMORTIZATIONS THAT ARE CHARGED TO POWER COSTS)</v>
      </c>
      <c r="L58" s="772">
        <f>-I40</f>
        <v>3249409.9784367527</v>
      </c>
      <c r="N58" s="772">
        <f t="shared" ref="N58:N64" si="6">L58*$N$15</f>
        <v>3181204.8629893656</v>
      </c>
    </row>
    <row r="59" spans="1:14" hidden="1">
      <c r="A59" s="763">
        <f t="shared" si="0"/>
        <v>41</v>
      </c>
      <c r="B59" s="798" t="str">
        <f>'JHS-20'!K6</f>
        <v>LOWER SNAKE RIVER PREPAID TRANSMISSION DEPOSITS</v>
      </c>
      <c r="L59" s="772">
        <f>-F40</f>
        <v>18551989.545757908</v>
      </c>
      <c r="N59" s="772">
        <f t="shared" si="6"/>
        <v>18162583.285192452</v>
      </c>
    </row>
    <row r="60" spans="1:14" hidden="1">
      <c r="A60" s="763">
        <f t="shared" si="0"/>
        <v>42</v>
      </c>
      <c r="B60" s="798" t="str">
        <f>'JHS-20'!F6</f>
        <v>LOWER SNAKE RIVER PROJECT</v>
      </c>
      <c r="L60" s="772">
        <f>-G40</f>
        <v>420202.58515248541</v>
      </c>
      <c r="N60" s="772">
        <f t="shared" si="6"/>
        <v>411382.53289013478</v>
      </c>
    </row>
    <row r="61" spans="1:14" hidden="1">
      <c r="A61" s="763">
        <f t="shared" si="0"/>
        <v>43</v>
      </c>
      <c r="B61" s="1068" t="str">
        <f>'JHS-21'!CN6&amp;" and "&amp;'JHS-21'!AX6&amp;":"</f>
        <v>WAGE INCREASE and INCENTIVE PAY:</v>
      </c>
      <c r="L61" s="471"/>
      <c r="M61" s="779"/>
      <c r="N61" s="772"/>
    </row>
    <row r="62" spans="1:14" hidden="1">
      <c r="A62" s="763">
        <f t="shared" si="0"/>
        <v>44</v>
      </c>
      <c r="B62" s="1068" t="s">
        <v>66</v>
      </c>
      <c r="L62" s="772">
        <f>'JHS-20'!BB15</f>
        <v>79703.050959696149</v>
      </c>
      <c r="M62" s="779"/>
      <c r="N62" s="772">
        <f t="shared" si="6"/>
        <v>78030.08392005213</v>
      </c>
    </row>
    <row r="63" spans="1:14" hidden="1">
      <c r="A63" s="763">
        <f t="shared" si="0"/>
        <v>45</v>
      </c>
      <c r="B63" s="1068" t="s">
        <v>67</v>
      </c>
      <c r="L63" s="772">
        <f>'JHS-20'!BB16</f>
        <v>243956.35415977897</v>
      </c>
      <c r="M63" s="779"/>
      <c r="N63" s="772">
        <f t="shared" si="6"/>
        <v>238835.71028596524</v>
      </c>
    </row>
    <row r="64" spans="1:14" hidden="1">
      <c r="A64" s="763">
        <f t="shared" si="0"/>
        <v>46</v>
      </c>
      <c r="B64" s="798" t="str">
        <f>"Less Transmission Income in "&amp;PROPER('JHS-20'!A6)&amp;" not related to the PCA-approved transmission lines (Colstrip, 3rd AC and Northern Intertie)"</f>
        <v>Less Transmission Income in Power Costs not related to the PCA-approved transmission lines (Colstrip, 3rd AC and Northern Intertie)</v>
      </c>
      <c r="L64" s="772">
        <f>-D38+TransmRev!D11</f>
        <v>8404739.9000000004</v>
      </c>
      <c r="M64" s="779"/>
      <c r="N64" s="772">
        <f t="shared" si="6"/>
        <v>8228324.4094990008</v>
      </c>
    </row>
    <row r="65" spans="1:14" ht="13.5" hidden="1" thickBot="1">
      <c r="A65" s="763">
        <f t="shared" si="0"/>
        <v>47</v>
      </c>
      <c r="B65" s="1068" t="str">
        <f>"Power Costs in Baseline Rate = Lines "&amp;'JHS-25 Ex A-1'!A16&amp;" - "&amp;'JHS-25 Ex A-1'!A18&amp;", Lines "&amp;'JHS-25 Ex A-1'!A23&amp;" - "&amp;'JHS-25 Ex A-1'!A29&amp;", Line "&amp;'JHS-25 Ex A-1'!A35&amp;" and Power Cost Portion of Line "&amp;'JHS-25 Ex A-1'!A32&amp;" of Exhibit A-1"</f>
        <v>Power Costs in Baseline Rate = Lines 13 - 15, Lines 16 - 22, Line 28 and Power Cost Portion of Line 25 of Exhibit A-1</v>
      </c>
      <c r="L65" s="789">
        <f>SUM(L57:L64)</f>
        <v>926017423.62228632</v>
      </c>
      <c r="N65" s="789">
        <f>SUM(N57:N64)</f>
        <v>906580317.90045452</v>
      </c>
    </row>
    <row r="66" spans="1:14" ht="13.5" hidden="1" thickTop="1">
      <c r="A66" s="763">
        <f t="shared" si="0"/>
        <v>48</v>
      </c>
      <c r="L66" s="788"/>
      <c r="M66" s="779"/>
      <c r="N66" s="788"/>
    </row>
    <row r="67" spans="1:14" hidden="1">
      <c r="A67" s="763">
        <f t="shared" si="0"/>
        <v>49</v>
      </c>
      <c r="B67" s="1068" t="s">
        <v>73</v>
      </c>
      <c r="L67" s="788"/>
      <c r="M67" s="779"/>
      <c r="N67" s="788"/>
    </row>
    <row r="68" spans="1:14" hidden="1">
      <c r="A68" s="763">
        <f t="shared" si="0"/>
        <v>50</v>
      </c>
      <c r="B68" s="798" t="s">
        <v>76</v>
      </c>
      <c r="L68" s="788">
        <f>L65</f>
        <v>926017423.62228632</v>
      </c>
      <c r="M68" s="779"/>
      <c r="N68" s="788">
        <f>N65</f>
        <v>906580317.90045452</v>
      </c>
    </row>
    <row r="69" spans="1:14" hidden="1">
      <c r="A69" s="763">
        <f>A68+1</f>
        <v>51</v>
      </c>
      <c r="B69" s="798" t="s">
        <v>74</v>
      </c>
      <c r="L69" s="788"/>
      <c r="M69" s="779"/>
      <c r="N69" s="788"/>
    </row>
    <row r="70" spans="1:14" hidden="1">
      <c r="A70" s="763">
        <f t="shared" si="0"/>
        <v>52</v>
      </c>
      <c r="B70" s="1068" t="s">
        <v>771</v>
      </c>
      <c r="L70" s="772">
        <f>-L49-L64</f>
        <v>5613464.7533333302</v>
      </c>
      <c r="M70" s="772"/>
      <c r="N70" s="772">
        <f>-N49-N64</f>
        <v>5495638.1281608641</v>
      </c>
    </row>
    <row r="71" spans="1:14" hidden="1">
      <c r="A71" s="763">
        <f t="shared" si="0"/>
        <v>53</v>
      </c>
      <c r="B71" s="1068" t="s">
        <v>265</v>
      </c>
      <c r="L71" s="772">
        <f>-L32</f>
        <v>-1419635</v>
      </c>
      <c r="M71" s="772"/>
      <c r="N71" s="772">
        <f>-N32</f>
        <v>-1389836.8613500001</v>
      </c>
    </row>
    <row r="72" spans="1:14" hidden="1">
      <c r="A72" s="763">
        <f>A71+1</f>
        <v>54</v>
      </c>
      <c r="B72" s="1068" t="s">
        <v>298</v>
      </c>
      <c r="L72" s="772">
        <f>-L34</f>
        <v>0</v>
      </c>
      <c r="M72" s="772"/>
      <c r="N72" s="772">
        <f>-N34</f>
        <v>0</v>
      </c>
    </row>
    <row r="73" spans="1:14" hidden="1">
      <c r="A73" s="763">
        <f t="shared" si="0"/>
        <v>55</v>
      </c>
      <c r="B73" s="798" t="s">
        <v>75</v>
      </c>
      <c r="L73" s="745">
        <f>'JHS-19'!K27</f>
        <v>-37532000</v>
      </c>
      <c r="M73" s="803"/>
      <c r="N73" s="745">
        <f>L73</f>
        <v>-37532000</v>
      </c>
    </row>
    <row r="74" spans="1:14" ht="13.5" hidden="1" thickBot="1">
      <c r="A74" s="763">
        <f>A73+1</f>
        <v>56</v>
      </c>
      <c r="B74" s="1068" t="s">
        <v>77</v>
      </c>
      <c r="L74" s="789">
        <f>SUM(L68:L73)</f>
        <v>892679253.37561965</v>
      </c>
      <c r="M74" s="779"/>
      <c r="N74" s="789">
        <f>SUM(N68:N73)</f>
        <v>873154119.1672653</v>
      </c>
    </row>
    <row r="75" spans="1:14" ht="14.25" hidden="1" thickTop="1" thickBot="1">
      <c r="A75" s="799">
        <f>A74+1</f>
        <v>57</v>
      </c>
      <c r="B75" s="791"/>
      <c r="C75" s="791"/>
      <c r="D75" s="791"/>
      <c r="E75" s="791"/>
      <c r="F75" s="791"/>
      <c r="G75" s="791"/>
      <c r="H75" s="791"/>
      <c r="I75" s="791"/>
      <c r="J75" s="792">
        <f>ROUND('JHS-20'!D29-'JHS-20.01(A)'!N54,0)</f>
        <v>-60793446</v>
      </c>
      <c r="K75" s="791"/>
      <c r="L75" s="793"/>
      <c r="M75" s="793"/>
      <c r="N75" s="793"/>
    </row>
    <row r="76" spans="1:14" ht="13.5" hidden="1" thickTop="1">
      <c r="A76" s="796"/>
    </row>
    <row r="77" spans="1:14" hidden="1">
      <c r="A77" s="1364"/>
      <c r="N77" s="773"/>
    </row>
    <row r="78" spans="1:14">
      <c r="L78" s="1068"/>
      <c r="N78" s="348"/>
    </row>
    <row r="79" spans="1:14">
      <c r="L79" s="1068"/>
      <c r="N79" s="773"/>
    </row>
    <row r="80" spans="1:14">
      <c r="L80" s="1068"/>
      <c r="N80" s="773"/>
    </row>
    <row r="81" spans="10:14">
      <c r="L81" s="1068"/>
      <c r="N81" s="775"/>
    </row>
    <row r="82" spans="10:14">
      <c r="J82" s="795"/>
      <c r="L82" s="778"/>
      <c r="N82" s="1068"/>
    </row>
    <row r="85" spans="10:14">
      <c r="N85" s="773"/>
    </row>
    <row r="87" spans="10:14">
      <c r="N87" s="1061"/>
    </row>
  </sheetData>
  <customSheetViews>
    <customSheetView guid="{D358E58B-5EA6-4EB2-8562-4D9FEBA8EA54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"/>
      <headerFooter alignWithMargins="0"/>
    </customSheetView>
    <customSheetView guid="{DD70B4E1-CC64-4568-BFD6-83390A7B0268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"/>
      <headerFooter alignWithMargins="0"/>
    </customSheetView>
    <customSheetView guid="{1E64D771-8C52-4EFE-8F0D-67326F432767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"/>
      <headerFooter alignWithMargins="0"/>
    </customSheetView>
    <customSheetView guid="{8920654A-B782-40BF-9A51-A43F20A27C02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4"/>
      <headerFooter alignWithMargins="0"/>
    </customSheetView>
    <customSheetView guid="{F985D028-064A-46CA-9D34-E4E9B88A9B3C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5"/>
      <headerFooter alignWithMargins="0"/>
    </customSheetView>
    <customSheetView guid="{CD5012F4-E6A6-495E-BF90-5F6D9EE7AF29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6"/>
      <headerFooter alignWithMargins="0"/>
    </customSheetView>
    <customSheetView guid="{14262664-129C-4E9B-8245-4B43AF19E33A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7"/>
      <headerFooter alignWithMargins="0"/>
    </customSheetView>
    <customSheetView guid="{8E7EA697-A1C1-4FA5-9CC7-93304413A154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8"/>
      <headerFooter alignWithMargins="0"/>
    </customSheetView>
    <customSheetView guid="{F531E925-9E0B-409C-9EAA-ADCDD51D6BA7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9"/>
      <headerFooter alignWithMargins="0"/>
    </customSheetView>
    <customSheetView guid="{4840C72E-33E7-45CF-A897-030BC56F6B90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0"/>
      <headerFooter alignWithMargins="0"/>
    </customSheetView>
    <customSheetView guid="{40B7FB48-DAE3-4682-852F-AC0650D2BE14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1"/>
      <headerFooter alignWithMargins="0"/>
    </customSheetView>
    <customSheetView guid="{A3FBC4C2-6ECB-480C-89DD-35506B048870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2"/>
      <headerFooter alignWithMargins="0"/>
    </customSheetView>
    <customSheetView guid="{EDF3DC03-FBB9-4397-9335-6FA548B9B5CD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3"/>
      <headerFooter alignWithMargins="0"/>
    </customSheetView>
    <customSheetView guid="{605C023E-A5C7-400F-9AAA-827B8FDB13A8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4"/>
      <headerFooter alignWithMargins="0"/>
    </customSheetView>
    <customSheetView guid="{3DB8EC99-BD55-4ABF-B71E-F70797B0173C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5"/>
      <headerFooter alignWithMargins="0"/>
    </customSheetView>
    <customSheetView guid="{62EE4FB2-B9F8-4C5D-BC5C-181361F6DD86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6"/>
      <headerFooter alignWithMargins="0"/>
    </customSheetView>
    <customSheetView guid="{BBEC464C-25F9-4835-BB05-13062D5DEAC1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7"/>
      <headerFooter alignWithMargins="0"/>
    </customSheetView>
    <customSheetView guid="{88A240CE-F5A6-4995-A526-0E22BADCFF6D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8"/>
      <headerFooter alignWithMargins="0"/>
    </customSheetView>
    <customSheetView guid="{3834E606-B28A-4696-9192-7BDA898195A1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19"/>
      <headerFooter alignWithMargins="0"/>
    </customSheetView>
    <customSheetView guid="{D564613F-7CF3-40DE-8CDA-0C25C1F35855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0"/>
      <headerFooter alignWithMargins="0"/>
    </customSheetView>
    <customSheetView guid="{BA39091D-C7FC-45D0-82A3-5E4EAAFABA5A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1"/>
      <headerFooter alignWithMargins="0"/>
    </customSheetView>
    <customSheetView guid="{3797879C-3298-4122-A12D-3DFD0284FBDD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2"/>
      <headerFooter alignWithMargins="0"/>
    </customSheetView>
    <customSheetView guid="{46E5C546-9AEA-4E06-B017-805B7E255C92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3"/>
      <headerFooter alignWithMargins="0"/>
    </customSheetView>
    <customSheetView guid="{813D7A4F-EDF6-49ED-B8FD-B74D0B9276AB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4"/>
      <headerFooter alignWithMargins="0"/>
    </customSheetView>
    <customSheetView guid="{28C5A156-92F3-4234-9C7A-A32D75F798CC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5"/>
      <headerFooter alignWithMargins="0"/>
    </customSheetView>
    <customSheetView guid="{E98B4028-3602-46AA-8C00-41FD8ABF8836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6"/>
      <headerFooter alignWithMargins="0"/>
    </customSheetView>
    <customSheetView guid="{41713566-6DDC-4C14-8259-D9C15B9E45DD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7"/>
      <headerFooter alignWithMargins="0"/>
    </customSheetView>
    <customSheetView guid="{990691EF-FF43-4000-BCD8-6862D2BAD44A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8"/>
      <headerFooter alignWithMargins="0"/>
    </customSheetView>
    <customSheetView guid="{17768135-68BF-4539-94C0-50ED7816A698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29"/>
      <headerFooter alignWithMargins="0"/>
    </customSheetView>
    <customSheetView guid="{DF4E3B04-E442-43A1-A47D-E26F6CE7F11C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0"/>
      <headerFooter alignWithMargins="0"/>
    </customSheetView>
    <customSheetView guid="{2DBDF3D7-BA4D-404D-AE4B-DFD7008C0411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1"/>
      <headerFooter alignWithMargins="0"/>
    </customSheetView>
    <customSheetView guid="{423F2953-9177-4482-AE78-C7C47BA8995B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2"/>
      <headerFooter alignWithMargins="0"/>
    </customSheetView>
    <customSheetView guid="{E2C26153-D457-4603-B564-60CFADB5026B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3"/>
      <headerFooter alignWithMargins="0"/>
    </customSheetView>
    <customSheetView guid="{C3CE34FF-D7D7-4ECF-B6E1-4700E3130E94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4"/>
      <headerFooter alignWithMargins="0"/>
    </customSheetView>
    <customSheetView guid="{067119CC-1C61-43DB-B4BB-54397DC63A91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5"/>
      <headerFooter alignWithMargins="0"/>
    </customSheetView>
    <customSheetView guid="{FEFCE477-944B-4DAC-AD75-686CC83D0F0B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6"/>
      <headerFooter alignWithMargins="0"/>
    </customSheetView>
    <customSheetView guid="{D034A8AA-A968-4D12-B6AF-09F53E5CD513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7"/>
      <headerFooter alignWithMargins="0"/>
    </customSheetView>
    <customSheetView guid="{ACABE5FC-E604-45C9-ACB7-53C863CA19F6}" scale="88" fitToPage="1" showRuler="0">
      <pane xSplit="3" ySplit="13" topLeftCell="D14" activePane="bottomRight" state="frozen"/>
      <selection pane="bottomRight" activeCell="B35" sqref="B35"/>
      <pageMargins left="0.5" right="0.5" top="0.25" bottom="0.25" header="0.5" footer="0.5"/>
      <printOptions horizontalCentered="1"/>
      <pageSetup fitToHeight="0" orientation="portrait" r:id="rId38"/>
      <headerFooter alignWithMargins="0"/>
    </customSheetView>
  </customSheetViews>
  <mergeCells count="1">
    <mergeCell ref="D2:F2"/>
  </mergeCells>
  <phoneticPr fontId="17" type="noConversion"/>
  <conditionalFormatting sqref="N41 N43">
    <cfRule type="cellIs" dxfId="6" priority="2" stopIfTrue="1" operator="notEqual">
      <formula>0</formula>
    </cfRule>
  </conditionalFormatting>
  <printOptions horizontalCentered="1"/>
  <pageMargins left="0.25" right="1" top="0.67" bottom="0.5" header="0.21" footer="0.5"/>
  <pageSetup scale="73" orientation="landscape" r:id="rId39"/>
  <headerFooter alignWithMargins="0">
    <oddFooter>&amp;L&amp;"Times New Roman,Bold Italic"&amp;14Amounts presented in bold italic type have changed since PSE's Rebuttal Filing as revised February 16, 2012.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13"/>
  <sheetViews>
    <sheetView zoomScale="88" zoomScaleNormal="88" zoomScaleSheetLayoutView="100" workbookViewId="0">
      <pane xSplit="1" ySplit="11" topLeftCell="CT12" activePane="bottomRight" state="frozen"/>
      <selection activeCell="D12" sqref="D12"/>
      <selection pane="topRight" activeCell="D12" sqref="D12"/>
      <selection pane="bottomLeft" activeCell="D12" sqref="D12"/>
      <selection pane="bottomRight" activeCell="DD2" sqref="DD2"/>
    </sheetView>
  </sheetViews>
  <sheetFormatPr defaultRowHeight="12.75"/>
  <cols>
    <col min="1" max="1" width="6" customWidth="1"/>
    <col min="2" max="2" width="29.5" customWidth="1"/>
    <col min="3" max="3" width="22.33203125" customWidth="1"/>
    <col min="4" max="4" width="18.5" customWidth="1"/>
    <col min="5" max="5" width="17.1640625" bestFit="1" customWidth="1"/>
    <col min="6" max="6" width="18.5" customWidth="1"/>
    <col min="7" max="7" width="17.83203125" customWidth="1"/>
    <col min="8" max="8" width="9.5" bestFit="1" customWidth="1"/>
    <col min="9" max="9" width="75.6640625" customWidth="1"/>
    <col min="10" max="10" width="23.1640625" customWidth="1"/>
    <col min="11" max="11" width="15.6640625" customWidth="1"/>
    <col min="12" max="12" width="16.1640625" customWidth="1"/>
    <col min="13" max="13" width="6.5" customWidth="1"/>
    <col min="14" max="14" width="74.6640625" customWidth="1"/>
    <col min="16" max="16" width="13.33203125" customWidth="1"/>
    <col min="17" max="17" width="17.83203125" customWidth="1"/>
    <col min="18" max="18" width="6.5" customWidth="1"/>
    <col min="19" max="19" width="74.33203125" customWidth="1"/>
    <col min="20" max="20" width="17.1640625" customWidth="1"/>
    <col min="21" max="21" width="18.83203125" customWidth="1"/>
    <col min="22" max="22" width="5.83203125" bestFit="1" customWidth="1"/>
    <col min="23" max="23" width="57.5" customWidth="1"/>
    <col min="24" max="24" width="21.33203125" customWidth="1"/>
    <col min="25" max="25" width="21.1640625" customWidth="1"/>
    <col min="26" max="26" width="5.83203125" style="7" customWidth="1"/>
    <col min="27" max="27" width="70.1640625" style="7" customWidth="1"/>
    <col min="28" max="28" width="17.1640625" style="7" customWidth="1"/>
    <col min="29" max="29" width="14.83203125" style="7" customWidth="1"/>
    <col min="30" max="30" width="16.33203125" style="7" customWidth="1"/>
    <col min="31" max="31" width="5.83203125" style="7" bestFit="1" customWidth="1"/>
    <col min="32" max="32" width="50.1640625" style="7" customWidth="1"/>
    <col min="33" max="33" width="16" style="7" customWidth="1"/>
    <col min="34" max="34" width="16.33203125" style="7" customWidth="1"/>
    <col min="35" max="35" width="17.1640625" style="7" customWidth="1"/>
    <col min="36" max="36" width="6.83203125" customWidth="1"/>
    <col min="37" max="37" width="68.83203125" customWidth="1"/>
    <col min="38" max="38" width="13.6640625" customWidth="1"/>
    <col min="39" max="39" width="15.5" customWidth="1"/>
    <col min="40" max="40" width="19.1640625" customWidth="1"/>
    <col min="41" max="41" width="7.5" customWidth="1"/>
    <col min="42" max="42" width="24.83203125" customWidth="1"/>
    <col min="43" max="43" width="20.5" customWidth="1"/>
    <col min="44" max="44" width="21" customWidth="1"/>
    <col min="45" max="45" width="18.33203125" customWidth="1"/>
    <col min="46" max="46" width="22.6640625" customWidth="1"/>
    <col min="47" max="47" width="15.5" customWidth="1"/>
    <col min="48" max="48" width="21.33203125" customWidth="1"/>
    <col min="49" max="49" width="18.5" customWidth="1"/>
    <col min="50" max="50" width="6.83203125" style="7" customWidth="1"/>
    <col min="51" max="51" width="52" bestFit="1" customWidth="1"/>
    <col min="52" max="52" width="19.1640625" customWidth="1"/>
    <col min="53" max="53" width="18.33203125" customWidth="1"/>
    <col min="54" max="54" width="19.6640625" customWidth="1"/>
    <col min="55" max="55" width="5.83203125" style="7" customWidth="1"/>
    <col min="56" max="56" width="37.1640625" style="7" bestFit="1" customWidth="1"/>
    <col min="57" max="57" width="22.33203125" style="7" customWidth="1"/>
    <col min="58" max="58" width="20.5" style="7" customWidth="1"/>
    <col min="59" max="59" width="21.83203125" style="7" customWidth="1"/>
    <col min="60" max="60" width="24" style="7" customWidth="1"/>
    <col min="61" max="61" width="5.83203125" style="109" customWidth="1"/>
    <col min="62" max="62" width="59.83203125" style="109" customWidth="1"/>
    <col min="63" max="63" width="6.5" style="109" customWidth="1"/>
    <col min="64" max="64" width="24.33203125" style="109" customWidth="1"/>
    <col min="65" max="65" width="5.83203125" bestFit="1" customWidth="1"/>
    <col min="66" max="66" width="54.83203125" customWidth="1"/>
    <col min="67" max="67" width="14.6640625" customWidth="1"/>
    <col min="68" max="68" width="14.83203125" customWidth="1"/>
    <col min="69" max="69" width="16.5" customWidth="1"/>
    <col min="70" max="70" width="6.83203125" style="7" customWidth="1"/>
    <col min="71" max="71" width="49.83203125" style="7" bestFit="1" customWidth="1"/>
    <col min="72" max="72" width="16.1640625" style="7" customWidth="1"/>
    <col min="73" max="73" width="23.6640625" style="7" customWidth="1"/>
    <col min="74" max="74" width="5.83203125" style="7" customWidth="1"/>
    <col min="75" max="75" width="62.1640625" style="7" bestFit="1" customWidth="1"/>
    <col min="76" max="76" width="20.83203125" style="7" customWidth="1"/>
    <col min="77" max="77" width="15.6640625" style="7" customWidth="1"/>
    <col min="78" max="78" width="5.83203125" style="7" customWidth="1"/>
    <col min="79" max="79" width="60.1640625" style="7" customWidth="1"/>
    <col min="80" max="80" width="17" style="7" customWidth="1"/>
    <col min="81" max="81" width="24.33203125" style="7" customWidth="1"/>
    <col min="82" max="82" width="5.83203125" style="7" customWidth="1"/>
    <col min="83" max="83" width="46.33203125" style="7" bestFit="1" customWidth="1"/>
    <col min="84" max="84" width="16.83203125" style="7" customWidth="1"/>
    <col min="85" max="85" width="20.5" style="7" customWidth="1"/>
    <col min="86" max="86" width="22.1640625" style="7" customWidth="1"/>
    <col min="87" max="87" width="5.83203125" style="7" customWidth="1"/>
    <col min="88" max="88" width="43.83203125" style="7" customWidth="1"/>
    <col min="89" max="89" width="18.5" style="7" customWidth="1"/>
    <col min="90" max="90" width="19.1640625" style="7" customWidth="1"/>
    <col min="91" max="91" width="23.33203125" style="7" customWidth="1"/>
    <col min="92" max="92" width="6.83203125" style="7" customWidth="1"/>
    <col min="93" max="93" width="42.83203125" style="7" customWidth="1"/>
    <col min="94" max="94" width="20" style="7" customWidth="1"/>
    <col min="95" max="95" width="20.5" style="7" customWidth="1"/>
    <col min="96" max="96" width="24.83203125" style="7" customWidth="1"/>
    <col min="97" max="97" width="5.83203125" style="7" customWidth="1"/>
    <col min="98" max="98" width="61.1640625" style="7" customWidth="1"/>
    <col min="99" max="99" width="10.1640625" style="7" customWidth="1"/>
    <col min="100" max="100" width="15.1640625" style="7" customWidth="1"/>
    <col min="101" max="101" width="29.1640625" style="7" customWidth="1"/>
    <col min="102" max="102" width="6.83203125" style="7" customWidth="1"/>
    <col min="103" max="103" width="49.1640625" style="7" customWidth="1"/>
    <col min="104" max="104" width="10.6640625" style="7" customWidth="1"/>
    <col min="105" max="105" width="10.83203125" style="7" customWidth="1"/>
    <col min="106" max="106" width="29.1640625" style="7" customWidth="1"/>
    <col min="107" max="107" width="6.5" bestFit="1" customWidth="1"/>
    <col min="108" max="108" width="44.6640625" bestFit="1" customWidth="1"/>
    <col min="109" max="111" width="18.83203125" customWidth="1"/>
  </cols>
  <sheetData>
    <row r="1" spans="1:111" ht="13.5" thickBot="1">
      <c r="A1" s="274">
        <f>ROUND(SUM(B1:G1),0)</f>
        <v>0</v>
      </c>
      <c r="B1" s="275"/>
      <c r="C1" s="275"/>
      <c r="D1" s="275"/>
      <c r="E1" s="275"/>
      <c r="F1" s="275"/>
      <c r="G1" s="275">
        <f>ROUND('JHS-19'!P49-G53,0)</f>
        <v>0</v>
      </c>
      <c r="H1" s="275"/>
      <c r="I1" s="275"/>
      <c r="J1" s="275"/>
      <c r="K1" s="275"/>
      <c r="L1" s="275">
        <f>ROUND(L59-'JHS-19'!Q49,0)</f>
        <v>0</v>
      </c>
      <c r="M1" s="275"/>
      <c r="N1" s="338"/>
      <c r="O1" s="338"/>
      <c r="P1" s="338"/>
      <c r="Q1" s="338">
        <f>ROUND(Q44-'JHS-19'!R49,2)</f>
        <v>0</v>
      </c>
      <c r="R1" s="275"/>
      <c r="S1" s="275"/>
      <c r="T1" s="275"/>
      <c r="U1" s="276">
        <f>ROUND(U32-'JHS-19'!S49,0)</f>
        <v>0</v>
      </c>
      <c r="V1" s="275"/>
      <c r="W1" s="275"/>
      <c r="X1" s="275"/>
      <c r="Y1" s="289">
        <f>ROUND(Y23-'JHS-19'!T49,0)</f>
        <v>0</v>
      </c>
      <c r="Z1" s="275"/>
      <c r="AA1" s="275"/>
      <c r="AB1" s="275"/>
      <c r="AC1" s="275"/>
      <c r="AD1" s="275">
        <f>ROUND(AD31-'JHS-19'!U49,0)</f>
        <v>0</v>
      </c>
      <c r="AE1" s="275"/>
      <c r="AF1" s="276"/>
      <c r="AG1" s="276"/>
      <c r="AH1" s="276"/>
      <c r="AI1" s="105">
        <f>ROUND(AI25-'JHS-19'!V49,0)</f>
        <v>0</v>
      </c>
      <c r="AJ1" s="289"/>
      <c r="AK1" s="289"/>
      <c r="AL1" s="289"/>
      <c r="AM1" s="289"/>
      <c r="AN1" s="289">
        <f>ROUND(AN20-'JHS-19'!W49,0)</f>
        <v>0</v>
      </c>
      <c r="AO1" s="275"/>
      <c r="AP1" s="275"/>
      <c r="AQ1" s="275"/>
      <c r="AR1" s="275"/>
      <c r="AS1" s="275"/>
      <c r="AT1" s="275"/>
      <c r="AU1" s="275"/>
      <c r="AV1" s="275"/>
      <c r="AW1" s="386">
        <f>ROUND(AW28-'JHS-19'!X49,0)</f>
        <v>0</v>
      </c>
      <c r="AX1" s="275"/>
      <c r="AY1" s="311"/>
      <c r="AZ1" s="311"/>
      <c r="BA1" s="311"/>
      <c r="BB1" s="276">
        <f>ROUND(BB30-'JHS-19'!Y49,0)</f>
        <v>0</v>
      </c>
      <c r="BC1" s="275"/>
      <c r="BD1" s="275"/>
      <c r="BE1" s="275"/>
      <c r="BF1" s="275"/>
      <c r="BG1" s="275"/>
      <c r="BH1" s="275">
        <f>ROUND(BH19-'JHS-19'!Z49,0)</f>
        <v>0</v>
      </c>
      <c r="BI1" s="276"/>
      <c r="BJ1" s="276"/>
      <c r="BK1" s="276"/>
      <c r="BL1" s="276">
        <f>ROUND(BL24-'JHS-19'!AA49,0)</f>
        <v>0</v>
      </c>
      <c r="BM1" s="275"/>
      <c r="BN1" s="275"/>
      <c r="BO1" s="275"/>
      <c r="BP1" s="275"/>
      <c r="BQ1" s="289">
        <f>BQ19-'JHS-19'!AB49</f>
        <v>0</v>
      </c>
      <c r="BR1" s="275"/>
      <c r="BS1" s="275"/>
      <c r="BT1" s="289">
        <f>BU20-'JHS-19'!AC51</f>
        <v>0</v>
      </c>
      <c r="BU1" s="275">
        <f>ROUND(BU15-'JHS-19'!AC49,0)</f>
        <v>0</v>
      </c>
      <c r="BV1" s="275"/>
      <c r="BW1" s="275"/>
      <c r="BX1" s="275"/>
      <c r="BY1" s="275">
        <f>ROUND(BY31-'JHS-19'!AD49,0)</f>
        <v>0</v>
      </c>
      <c r="BZ1" s="275"/>
      <c r="CA1" s="275"/>
      <c r="CB1" s="275"/>
      <c r="CC1" s="289">
        <f>ROUND(CC31-'JHS-19'!AE49,0)</f>
        <v>0</v>
      </c>
      <c r="CD1" s="275"/>
      <c r="CE1" s="275"/>
      <c r="CF1" s="275"/>
      <c r="CG1" s="275"/>
      <c r="CH1" s="278">
        <f>ROUND(CH20-'JHS-19'!AF49,0)</f>
        <v>0</v>
      </c>
      <c r="CI1" s="275"/>
      <c r="CJ1" s="275"/>
      <c r="CK1" s="275"/>
      <c r="CL1" s="275"/>
      <c r="CM1" s="278">
        <f>ROUND(CM18-'JHS-19'!AG49,0)</f>
        <v>0</v>
      </c>
      <c r="CN1" s="275"/>
      <c r="CO1" s="275"/>
      <c r="CP1" s="275"/>
      <c r="CQ1" s="275"/>
      <c r="CR1" s="275">
        <f>ROUND(CR29-'JHS-19'!AH49,0)</f>
        <v>0</v>
      </c>
      <c r="CS1" s="275"/>
      <c r="CT1" s="275"/>
      <c r="CU1" s="275"/>
      <c r="CV1" s="275"/>
      <c r="CW1" s="275">
        <f>ROUND(CW40-'JHS-19'!AI49,0)</f>
        <v>0</v>
      </c>
      <c r="CX1" s="275"/>
      <c r="CY1" s="275"/>
      <c r="CZ1" s="275"/>
      <c r="DA1" s="275"/>
      <c r="DB1" s="275">
        <f>ROUND(DB24-'JHS-19'!AJ49,0)</f>
        <v>0</v>
      </c>
      <c r="DC1" s="275"/>
      <c r="DD1" s="275"/>
      <c r="DE1" s="275"/>
      <c r="DF1" s="275"/>
      <c r="DG1" s="275">
        <v>0</v>
      </c>
    </row>
    <row r="2" spans="1:111" ht="16.5" thickBot="1">
      <c r="A2" s="16"/>
      <c r="B2" s="1481" t="s">
        <v>1491</v>
      </c>
      <c r="C2" s="7"/>
      <c r="D2" s="7"/>
      <c r="E2" s="7"/>
      <c r="F2" s="7"/>
      <c r="G2" s="1" t="str">
        <f>DocketNumber</f>
        <v>Docket Number UE-111048</v>
      </c>
      <c r="H2" s="16"/>
      <c r="I2" s="1481" t="s">
        <v>1491</v>
      </c>
      <c r="J2" s="7"/>
      <c r="K2" s="7"/>
      <c r="L2" s="1" t="str">
        <f>DocketNumber</f>
        <v>Docket Number UE-111048</v>
      </c>
      <c r="M2" s="7"/>
      <c r="N2" s="1481" t="s">
        <v>1491</v>
      </c>
      <c r="O2" s="339"/>
      <c r="P2" s="339"/>
      <c r="Q2" s="1" t="str">
        <f>DocketNumber</f>
        <v>Docket Number UE-111048</v>
      </c>
      <c r="R2" s="16"/>
      <c r="S2" s="1481" t="s">
        <v>1491</v>
      </c>
      <c r="T2" s="7"/>
      <c r="U2" s="1" t="str">
        <f>DocketNumber</f>
        <v>Docket Number UE-111048</v>
      </c>
      <c r="V2" s="16"/>
      <c r="W2" s="1481" t="s">
        <v>1491</v>
      </c>
      <c r="X2" s="7"/>
      <c r="Y2" s="1" t="str">
        <f>DocketNumber</f>
        <v>Docket Number UE-111048</v>
      </c>
      <c r="Z2" s="16"/>
      <c r="AA2" s="1481" t="s">
        <v>1491</v>
      </c>
      <c r="AB2" s="110"/>
      <c r="AD2" s="1" t="str">
        <f>DocketNumber</f>
        <v>Docket Number UE-111048</v>
      </c>
      <c r="AE2" s="16"/>
      <c r="AF2" s="1481" t="s">
        <v>1491</v>
      </c>
      <c r="AI2" s="1" t="str">
        <f>DocketNumber</f>
        <v>Docket Number UE-111048</v>
      </c>
      <c r="AJ2" s="1"/>
      <c r="AK2" s="1481" t="s">
        <v>1491</v>
      </c>
      <c r="AL2" s="1"/>
      <c r="AM2" s="1"/>
      <c r="AN2" s="1" t="str">
        <f>DocketNumber</f>
        <v>Docket Number UE-111048</v>
      </c>
      <c r="AO2" s="16"/>
      <c r="AP2" s="1481" t="s">
        <v>1491</v>
      </c>
      <c r="AQ2" s="7"/>
      <c r="AR2" s="7"/>
      <c r="AS2" s="7"/>
      <c r="AT2" s="7"/>
      <c r="AU2" s="7"/>
      <c r="AV2" s="7"/>
      <c r="AW2" s="1" t="str">
        <f>DocketNumber</f>
        <v>Docket Number UE-111048</v>
      </c>
      <c r="AX2" s="16"/>
      <c r="AY2" s="1481" t="s">
        <v>1491</v>
      </c>
      <c r="AZ2" s="7"/>
      <c r="BA2" s="7"/>
      <c r="BB2" s="1" t="str">
        <f>DocketNumber</f>
        <v>Docket Number UE-111048</v>
      </c>
      <c r="BC2" s="16"/>
      <c r="BD2" s="1481" t="s">
        <v>1491</v>
      </c>
      <c r="BH2" s="1" t="str">
        <f>DocketNumber</f>
        <v>Docket Number UE-111048</v>
      </c>
      <c r="BI2" s="16"/>
      <c r="BJ2" s="1481" t="s">
        <v>1491</v>
      </c>
      <c r="BK2" s="7"/>
      <c r="BL2" s="1" t="str">
        <f>DocketNumber</f>
        <v>Docket Number UE-111048</v>
      </c>
      <c r="BM2" s="105"/>
      <c r="BN2" s="1481" t="s">
        <v>1491</v>
      </c>
      <c r="BO2" s="105"/>
      <c r="BQ2" s="1" t="str">
        <f>DocketNumber</f>
        <v>Docket Number UE-111048</v>
      </c>
      <c r="BR2" s="16"/>
      <c r="BS2" s="1481" t="s">
        <v>1491</v>
      </c>
      <c r="BU2" s="1" t="str">
        <f>DocketNumber</f>
        <v>Docket Number UE-111048</v>
      </c>
      <c r="BV2" s="16"/>
      <c r="BW2" s="1481" t="s">
        <v>1491</v>
      </c>
      <c r="BY2" s="1" t="str">
        <f>DocketNumber</f>
        <v>Docket Number UE-111048</v>
      </c>
      <c r="BZ2" s="16"/>
      <c r="CA2" s="1481" t="s">
        <v>1491</v>
      </c>
      <c r="CB2" s="108"/>
      <c r="CC2" s="1" t="str">
        <f>DocketNumber</f>
        <v>Docket Number UE-111048</v>
      </c>
      <c r="CD2" s="16"/>
      <c r="CE2" s="1481" t="s">
        <v>1491</v>
      </c>
      <c r="CH2" s="1" t="str">
        <f>DocketNumber</f>
        <v>Docket Number UE-111048</v>
      </c>
      <c r="CI2" s="16"/>
      <c r="CJ2" s="1481" t="s">
        <v>1491</v>
      </c>
      <c r="CM2" s="1" t="str">
        <f>DocketNumber</f>
        <v>Docket Number UE-111048</v>
      </c>
      <c r="CN2" s="16"/>
      <c r="CO2" s="1481" t="s">
        <v>1491</v>
      </c>
      <c r="CR2" s="1" t="str">
        <f>DocketNumber</f>
        <v>Docket Number UE-111048</v>
      </c>
      <c r="CS2" s="16"/>
      <c r="CT2" s="1481" t="s">
        <v>1491</v>
      </c>
      <c r="CW2" s="1" t="str">
        <f>DocketNumber</f>
        <v>Docket Number UE-111048</v>
      </c>
      <c r="CX2" s="16"/>
      <c r="CY2" s="1481" t="s">
        <v>1491</v>
      </c>
      <c r="DB2" s="1" t="str">
        <f>DocketNumber</f>
        <v>Docket Number UE-111048</v>
      </c>
      <c r="DC2" s="7"/>
      <c r="DD2" s="1481" t="s">
        <v>1491</v>
      </c>
      <c r="DE2" s="7"/>
      <c r="DF2" s="7"/>
      <c r="DG2" s="1" t="str">
        <f>DocketNumber</f>
        <v>Docket Number UE-111048</v>
      </c>
    </row>
    <row r="3" spans="1:111" ht="13.5" thickBot="1">
      <c r="A3" s="33"/>
      <c r="B3" s="16"/>
      <c r="C3" s="16"/>
      <c r="D3" s="16"/>
      <c r="E3" s="16"/>
      <c r="F3" s="16"/>
      <c r="G3" s="744" t="s">
        <v>1365</v>
      </c>
      <c r="H3" s="7"/>
      <c r="I3" s="7"/>
      <c r="J3" s="7"/>
      <c r="K3" s="7"/>
      <c r="L3" s="1" t="str">
        <f>Exhibit_No.______JHS_06</f>
        <v>Exhibit No.     (JHS-21)</v>
      </c>
      <c r="M3" s="7"/>
      <c r="N3" s="339"/>
      <c r="O3" s="339"/>
      <c r="P3" s="339"/>
      <c r="Q3" s="1" t="str">
        <f>Exhibit_No.______JHS_06</f>
        <v>Exhibit No.     (JHS-21)</v>
      </c>
      <c r="R3" s="7"/>
      <c r="S3" s="7"/>
      <c r="T3" s="7"/>
      <c r="U3" s="1" t="str">
        <f>Exhibit_No.______JHS_06</f>
        <v>Exhibit No.     (JHS-21)</v>
      </c>
      <c r="V3" s="7"/>
      <c r="W3" s="7"/>
      <c r="X3" s="7"/>
      <c r="Y3" s="1" t="str">
        <f>Exhibit_No.______JHS_06</f>
        <v>Exhibit No.     (JHS-21)</v>
      </c>
      <c r="AD3" s="1" t="str">
        <f>Exhibit_No.______JHS_06</f>
        <v>Exhibit No.     (JHS-21)</v>
      </c>
      <c r="AF3" s="109"/>
      <c r="AG3" s="109"/>
      <c r="AH3" s="109"/>
      <c r="AI3" s="1" t="str">
        <f>Exhibit_No.______JHS_06</f>
        <v>Exhibit No.     (JHS-21)</v>
      </c>
      <c r="AJ3" s="1"/>
      <c r="AK3" s="1"/>
      <c r="AL3" s="1"/>
      <c r="AM3" s="1"/>
      <c r="AN3" s="1" t="str">
        <f>Exhibit_No.______JHS_06</f>
        <v>Exhibit No.     (JHS-21)</v>
      </c>
      <c r="AO3" s="7"/>
      <c r="AP3" s="7"/>
      <c r="AQ3" s="7"/>
      <c r="AR3" s="7"/>
      <c r="AS3" s="7"/>
      <c r="AT3" s="7"/>
      <c r="AU3" s="7"/>
      <c r="AV3" s="7"/>
      <c r="AW3" s="1" t="str">
        <f>Exhibit_No.______JHS_06</f>
        <v>Exhibit No.     (JHS-21)</v>
      </c>
      <c r="AY3" s="7"/>
      <c r="AZ3" s="7"/>
      <c r="BA3" s="7"/>
      <c r="BB3" s="1" t="str">
        <f>Exhibit_No.______JHS_06</f>
        <v>Exhibit No.     (JHS-21)</v>
      </c>
      <c r="BH3" s="1" t="str">
        <f>Exhibit_No.______JHS_06</f>
        <v>Exhibit No.     (JHS-21)</v>
      </c>
      <c r="BL3" s="1" t="str">
        <f>Exhibit_No.______JHS_06</f>
        <v>Exhibit No.     (JHS-21)</v>
      </c>
      <c r="BM3" s="105"/>
      <c r="BN3" s="105"/>
      <c r="BO3" s="105"/>
      <c r="BQ3" s="1" t="str">
        <f>Exhibit_No.______JHS_06</f>
        <v>Exhibit No.     (JHS-21)</v>
      </c>
      <c r="BU3" s="1" t="str">
        <f>Exhibit_No.______JHS_06</f>
        <v>Exhibit No.     (JHS-21)</v>
      </c>
      <c r="BY3" s="1" t="str">
        <f>Exhibit_No.______JHS_06</f>
        <v>Exhibit No.     (JHS-21)</v>
      </c>
      <c r="CC3" s="1" t="str">
        <f>Exhibit_No.______JHS_06</f>
        <v>Exhibit No.     (JHS-21)</v>
      </c>
      <c r="CH3" s="1" t="str">
        <f>Exhibit_No.______JHS_06</f>
        <v>Exhibit No.     (JHS-21)</v>
      </c>
      <c r="CM3" s="1" t="str">
        <f>Exhibit_No.______JHS_06</f>
        <v>Exhibit No.     (JHS-21)</v>
      </c>
      <c r="CR3" s="1" t="str">
        <f>Exhibit_No.______JHS_06</f>
        <v>Exhibit No.     (JHS-21)</v>
      </c>
      <c r="CW3" s="1" t="str">
        <f>Exhibit_No.______JHS_06</f>
        <v>Exhibit No.     (JHS-21)</v>
      </c>
      <c r="DB3" s="1" t="str">
        <f>Exhibit_No.______JHS_06</f>
        <v>Exhibit No.     (JHS-21)</v>
      </c>
      <c r="DC3" s="16"/>
      <c r="DD3" s="16"/>
      <c r="DE3" s="7"/>
      <c r="DF3" s="7"/>
      <c r="DG3" s="1" t="str">
        <f>Exhibit_No.______JHS_06</f>
        <v>Exhibit No.     (JHS-21)</v>
      </c>
    </row>
    <row r="4" spans="1:111" s="118" customFormat="1" ht="14.25" thickTop="1" thickBot="1">
      <c r="A4" s="16"/>
      <c r="B4" s="16"/>
      <c r="C4" s="16"/>
      <c r="D4" s="16"/>
      <c r="E4" s="16"/>
      <c r="F4" s="16"/>
      <c r="G4" s="458">
        <v>21.01</v>
      </c>
      <c r="H4" s="50"/>
      <c r="I4" s="50"/>
      <c r="J4" s="50"/>
      <c r="K4" s="50"/>
      <c r="L4" s="458">
        <f>'JHS-21'!G4+0.01</f>
        <v>21.020000000000003</v>
      </c>
      <c r="M4" s="16"/>
      <c r="N4" s="339"/>
      <c r="O4" s="339"/>
      <c r="P4" s="331"/>
      <c r="Q4" s="458">
        <f>L4+0.01</f>
        <v>21.030000000000005</v>
      </c>
      <c r="R4" s="16"/>
      <c r="S4" s="16"/>
      <c r="T4" s="16"/>
      <c r="U4" s="458">
        <f>'JHS-21'!L4+0.02</f>
        <v>21.040000000000003</v>
      </c>
      <c r="V4" s="16"/>
      <c r="W4" s="16"/>
      <c r="X4" s="16"/>
      <c r="Y4" s="458">
        <f>'JHS-21'!U4+0.01</f>
        <v>21.050000000000004</v>
      </c>
      <c r="Z4" s="16"/>
      <c r="AA4" s="16"/>
      <c r="AB4" s="116"/>
      <c r="AC4" s="16"/>
      <c r="AD4" s="458">
        <f>Y4+0.01</f>
        <v>21.060000000000006</v>
      </c>
      <c r="AE4" s="16"/>
      <c r="AF4" s="81"/>
      <c r="AG4" s="81"/>
      <c r="AH4" s="81"/>
      <c r="AI4" s="458">
        <f>AD4+0.01</f>
        <v>21.070000000000007</v>
      </c>
      <c r="AJ4" s="27"/>
      <c r="AK4" s="106"/>
      <c r="AL4" s="27"/>
      <c r="AM4" s="27"/>
      <c r="AN4" s="458">
        <f>AI4+0.01</f>
        <v>21.080000000000009</v>
      </c>
      <c r="AO4" s="16"/>
      <c r="AP4" s="16"/>
      <c r="AQ4" s="16"/>
      <c r="AR4" s="16"/>
      <c r="AS4" s="16"/>
      <c r="AT4" s="16"/>
      <c r="AU4" s="16"/>
      <c r="AV4" s="16"/>
      <c r="AW4" s="458">
        <f>AN4+0.01</f>
        <v>21.090000000000011</v>
      </c>
      <c r="AX4" s="16"/>
      <c r="AY4" s="16"/>
      <c r="AZ4" s="16"/>
      <c r="BA4" s="16"/>
      <c r="BB4" s="458">
        <f>AW4+0.01</f>
        <v>21.100000000000012</v>
      </c>
      <c r="BC4" s="16"/>
      <c r="BD4" s="16"/>
      <c r="BE4" s="16"/>
      <c r="BF4" s="16"/>
      <c r="BG4" s="50"/>
      <c r="BH4" s="458">
        <f>BB4+0.01</f>
        <v>21.110000000000014</v>
      </c>
      <c r="BI4" s="16"/>
      <c r="BJ4" s="16"/>
      <c r="BK4" s="16"/>
      <c r="BL4" s="458">
        <f>BH4+0.01</f>
        <v>21.120000000000015</v>
      </c>
      <c r="BM4" s="7"/>
      <c r="BN4" s="7"/>
      <c r="BO4" s="7"/>
      <c r="BQ4" s="458">
        <f>BL4+0.01</f>
        <v>21.130000000000017</v>
      </c>
      <c r="BR4" s="16"/>
      <c r="BS4" s="16"/>
      <c r="BT4" s="16"/>
      <c r="BU4" s="458">
        <f>BQ4+0.01</f>
        <v>21.140000000000018</v>
      </c>
      <c r="BV4" s="16"/>
      <c r="BW4" s="7"/>
      <c r="BX4" s="16"/>
      <c r="BY4" s="458">
        <f>BU4+0.01</f>
        <v>21.15000000000002</v>
      </c>
      <c r="BZ4" s="16"/>
      <c r="CA4" s="16"/>
      <c r="CB4" s="16"/>
      <c r="CC4" s="458">
        <f>BY4+0.01</f>
        <v>21.160000000000021</v>
      </c>
      <c r="CD4" s="27"/>
      <c r="CE4" s="27"/>
      <c r="CF4" s="27"/>
      <c r="CG4" s="27"/>
      <c r="CH4" s="458">
        <f>CC4+0.01</f>
        <v>21.170000000000023</v>
      </c>
      <c r="CI4" s="27"/>
      <c r="CJ4" s="27"/>
      <c r="CK4" s="27"/>
      <c r="CL4" s="27"/>
      <c r="CM4" s="458">
        <f>CH4+0.01</f>
        <v>21.180000000000025</v>
      </c>
      <c r="CN4" s="16"/>
      <c r="CO4" s="16"/>
      <c r="CP4" s="16"/>
      <c r="CQ4" s="16"/>
      <c r="CR4" s="458">
        <f>CM4+0.01</f>
        <v>21.190000000000026</v>
      </c>
      <c r="CS4" s="16"/>
      <c r="CT4" s="16"/>
      <c r="CU4" s="16"/>
      <c r="CV4" s="16"/>
      <c r="CW4" s="458">
        <f>CR4+0.01</f>
        <v>21.200000000000028</v>
      </c>
      <c r="CX4" s="16"/>
      <c r="CY4" s="16"/>
      <c r="CZ4" s="16"/>
      <c r="DA4" s="16"/>
      <c r="DB4" s="458">
        <f>CW4+0.01</f>
        <v>21.210000000000029</v>
      </c>
      <c r="DC4" s="7"/>
      <c r="DD4" s="7"/>
      <c r="DE4" s="7"/>
      <c r="DF4" s="7"/>
      <c r="DG4" s="1092">
        <f>DB4+0.01</f>
        <v>21.220000000000031</v>
      </c>
    </row>
    <row r="5" spans="1:111" s="118" customFormat="1" ht="13.5">
      <c r="A5" s="18" t="s">
        <v>1235</v>
      </c>
      <c r="B5" s="17"/>
      <c r="C5" s="17"/>
      <c r="D5" s="17"/>
      <c r="E5" s="17"/>
      <c r="F5" s="17"/>
      <c r="G5" s="17"/>
      <c r="H5" s="18" t="s">
        <v>1235</v>
      </c>
      <c r="I5" s="17"/>
      <c r="J5" s="17"/>
      <c r="K5" s="17"/>
      <c r="L5" s="17"/>
      <c r="M5" s="18" t="s">
        <v>1235</v>
      </c>
      <c r="N5" s="340"/>
      <c r="O5" s="341"/>
      <c r="P5" s="341"/>
      <c r="Q5" s="341"/>
      <c r="R5" s="18" t="s">
        <v>1235</v>
      </c>
      <c r="S5" s="17"/>
      <c r="T5" s="17"/>
      <c r="U5" s="82"/>
      <c r="V5" s="18" t="s">
        <v>1235</v>
      </c>
      <c r="W5" s="17"/>
      <c r="X5" s="17"/>
      <c r="Y5" s="17"/>
      <c r="Z5" s="18" t="s">
        <v>1235</v>
      </c>
      <c r="AA5" s="31"/>
      <c r="AB5" s="60"/>
      <c r="AC5" s="17"/>
      <c r="AD5" s="17"/>
      <c r="AE5" s="18" t="s">
        <v>1235</v>
      </c>
      <c r="AF5" s="17"/>
      <c r="AG5" s="17"/>
      <c r="AH5" s="17"/>
      <c r="AI5" s="71"/>
      <c r="AJ5" s="18" t="s">
        <v>1235</v>
      </c>
      <c r="AK5" s="17"/>
      <c r="AL5" s="17"/>
      <c r="AM5" s="17"/>
      <c r="AN5" s="17"/>
      <c r="AO5" s="18" t="s">
        <v>1235</v>
      </c>
      <c r="AP5" s="17"/>
      <c r="AQ5" s="17"/>
      <c r="AR5" s="17"/>
      <c r="AS5" s="17"/>
      <c r="AT5" s="17"/>
      <c r="AU5" s="17"/>
      <c r="AV5" s="17"/>
      <c r="AW5" s="17"/>
      <c r="AX5" s="18" t="s">
        <v>1235</v>
      </c>
      <c r="AY5" s="243"/>
      <c r="AZ5" s="243"/>
      <c r="BA5" s="243"/>
      <c r="BB5" s="243"/>
      <c r="BC5" s="18" t="s">
        <v>1235</v>
      </c>
      <c r="BD5" s="17"/>
      <c r="BE5" s="17"/>
      <c r="BF5" s="17"/>
      <c r="BG5" s="17"/>
      <c r="BH5" s="17"/>
      <c r="BI5" s="291" t="s">
        <v>1235</v>
      </c>
      <c r="BJ5" s="291"/>
      <c r="BK5" s="291"/>
      <c r="BL5" s="291"/>
      <c r="BM5" s="18" t="s">
        <v>1235</v>
      </c>
      <c r="BN5" s="17"/>
      <c r="BO5" s="17"/>
      <c r="BP5" s="17"/>
      <c r="BQ5" s="71"/>
      <c r="BR5" s="18" t="s">
        <v>1235</v>
      </c>
      <c r="BS5" s="17"/>
      <c r="BT5" s="17"/>
      <c r="BU5" s="17"/>
      <c r="BV5" s="18" t="s">
        <v>1235</v>
      </c>
      <c r="BW5" s="17"/>
      <c r="BX5" s="17"/>
      <c r="BY5" s="17"/>
      <c r="BZ5" s="18" t="s">
        <v>1235</v>
      </c>
      <c r="CA5" s="17"/>
      <c r="CB5" s="17"/>
      <c r="CC5" s="17"/>
      <c r="CD5" s="18" t="s">
        <v>1235</v>
      </c>
      <c r="CE5" s="28"/>
      <c r="CF5" s="17"/>
      <c r="CG5" s="17"/>
      <c r="CH5" s="17"/>
      <c r="CI5" s="18" t="s">
        <v>1235</v>
      </c>
      <c r="CJ5" s="28"/>
      <c r="CK5" s="17"/>
      <c r="CL5" s="17"/>
      <c r="CM5" s="17"/>
      <c r="CN5" s="18" t="s">
        <v>1235</v>
      </c>
      <c r="CO5" s="17"/>
      <c r="CP5" s="17"/>
      <c r="CQ5" s="17"/>
      <c r="CR5" s="17"/>
      <c r="CS5" s="17" t="s">
        <v>1235</v>
      </c>
      <c r="CT5" s="17"/>
      <c r="CU5" s="17"/>
      <c r="CV5" s="17"/>
      <c r="CW5" s="17"/>
      <c r="CX5" s="18" t="s">
        <v>1235</v>
      </c>
      <c r="CY5" s="17"/>
      <c r="CZ5" s="17"/>
      <c r="DA5" s="17"/>
      <c r="DB5" s="17"/>
      <c r="DC5" s="17" t="s">
        <v>1398</v>
      </c>
      <c r="DD5" s="1248"/>
      <c r="DE5" s="1248"/>
      <c r="DF5" s="17"/>
      <c r="DG5" s="17"/>
    </row>
    <row r="6" spans="1:111" s="118" customFormat="1" ht="13.5" customHeight="1">
      <c r="A6" s="1488" t="s">
        <v>713</v>
      </c>
      <c r="B6" s="1488"/>
      <c r="C6" s="1488"/>
      <c r="D6" s="1488"/>
      <c r="E6" s="1488"/>
      <c r="F6" s="1488"/>
      <c r="G6" s="1488"/>
      <c r="H6" s="18" t="s">
        <v>714</v>
      </c>
      <c r="I6" s="19"/>
      <c r="J6" s="19"/>
      <c r="K6" s="19"/>
      <c r="L6" s="19"/>
      <c r="M6" s="1488" t="s">
        <v>715</v>
      </c>
      <c r="N6" s="1488"/>
      <c r="O6" s="1488"/>
      <c r="P6" s="1488"/>
      <c r="Q6" s="1488"/>
      <c r="R6" s="18" t="s">
        <v>716</v>
      </c>
      <c r="S6" s="17"/>
      <c r="T6" s="17"/>
      <c r="U6" s="82"/>
      <c r="V6" s="18" t="s">
        <v>717</v>
      </c>
      <c r="W6" s="17"/>
      <c r="X6" s="17"/>
      <c r="Y6" s="19"/>
      <c r="Z6" s="18" t="s">
        <v>718</v>
      </c>
      <c r="AA6" s="31"/>
      <c r="AB6" s="60"/>
      <c r="AC6" s="17"/>
      <c r="AD6" s="19"/>
      <c r="AE6" s="18" t="s">
        <v>720</v>
      </c>
      <c r="AF6" s="17"/>
      <c r="AG6" s="17"/>
      <c r="AH6" s="17"/>
      <c r="AI6" s="19"/>
      <c r="AJ6" s="17" t="s">
        <v>774</v>
      </c>
      <c r="AK6" s="731"/>
      <c r="AL6" s="731"/>
      <c r="AM6" s="731"/>
      <c r="AN6" s="731"/>
      <c r="AO6" s="18" t="s">
        <v>941</v>
      </c>
      <c r="AP6" s="17"/>
      <c r="AQ6" s="17"/>
      <c r="AR6" s="17"/>
      <c r="AS6" s="17"/>
      <c r="AT6" s="17"/>
      <c r="AU6" s="17"/>
      <c r="AV6" s="19"/>
      <c r="AW6" s="19"/>
      <c r="AX6" s="17" t="s">
        <v>721</v>
      </c>
      <c r="AY6" s="243"/>
      <c r="AZ6" s="243"/>
      <c r="BA6" s="243"/>
      <c r="BB6" s="243"/>
      <c r="BC6" s="18" t="s">
        <v>1254</v>
      </c>
      <c r="BD6" s="17"/>
      <c r="BE6" s="17"/>
      <c r="BF6" s="17"/>
      <c r="BG6" s="17"/>
      <c r="BH6" s="19"/>
      <c r="BI6" s="291" t="s">
        <v>665</v>
      </c>
      <c r="BJ6" s="243"/>
      <c r="BK6" s="243"/>
      <c r="BL6" s="243"/>
      <c r="BM6" s="17" t="s">
        <v>699</v>
      </c>
      <c r="BN6" s="17"/>
      <c r="BO6" s="17"/>
      <c r="BP6" s="17"/>
      <c r="BQ6" s="17"/>
      <c r="BR6" s="18" t="s">
        <v>722</v>
      </c>
      <c r="BS6" s="17"/>
      <c r="BT6" s="17"/>
      <c r="BU6" s="17"/>
      <c r="BV6" s="18" t="s">
        <v>723</v>
      </c>
      <c r="BW6" s="17"/>
      <c r="BX6" s="17"/>
      <c r="BY6" s="19"/>
      <c r="BZ6" s="18" t="s">
        <v>724</v>
      </c>
      <c r="CA6" s="17"/>
      <c r="CB6" s="17"/>
      <c r="CC6" s="17"/>
      <c r="CD6" s="1488" t="s">
        <v>725</v>
      </c>
      <c r="CE6" s="1488"/>
      <c r="CF6" s="1488"/>
      <c r="CG6" s="1488"/>
      <c r="CH6" s="1488"/>
      <c r="CI6" s="1488" t="s">
        <v>524</v>
      </c>
      <c r="CJ6" s="1488"/>
      <c r="CK6" s="1488"/>
      <c r="CL6" s="1488"/>
      <c r="CM6" s="1488"/>
      <c r="CN6" s="17" t="s">
        <v>525</v>
      </c>
      <c r="CO6" s="17"/>
      <c r="CP6" s="17"/>
      <c r="CQ6" s="17"/>
      <c r="CR6" s="19"/>
      <c r="CS6" s="17" t="s">
        <v>526</v>
      </c>
      <c r="CT6" s="17"/>
      <c r="CU6" s="17"/>
      <c r="CV6" s="17"/>
      <c r="CW6" s="17"/>
      <c r="CX6" s="17" t="s">
        <v>527</v>
      </c>
      <c r="CY6" s="17"/>
      <c r="CZ6" s="17"/>
      <c r="DA6" s="17"/>
      <c r="DB6" s="19"/>
      <c r="DC6" s="18" t="s">
        <v>1375</v>
      </c>
      <c r="DD6" s="18"/>
      <c r="DE6" s="18"/>
      <c r="DF6" s="18"/>
      <c r="DG6" s="18"/>
    </row>
    <row r="7" spans="1:111">
      <c r="A7" s="17" t="s">
        <v>521</v>
      </c>
      <c r="B7" s="18"/>
      <c r="C7" s="18"/>
      <c r="D7" s="18"/>
      <c r="E7" s="17"/>
      <c r="F7" s="20"/>
      <c r="G7" s="20"/>
      <c r="H7" s="17" t="str">
        <f>TESTYEAR</f>
        <v>FOR THE TWELVE MONTHS ENDED DECEMBER 31, 2010</v>
      </c>
      <c r="I7" s="20"/>
      <c r="J7" s="20"/>
      <c r="K7" s="20"/>
      <c r="L7" s="20"/>
      <c r="M7" s="17" t="str">
        <f>TESTYEAR</f>
        <v>FOR THE TWELVE MONTHS ENDED DECEMBER 31, 2010</v>
      </c>
      <c r="N7" s="355"/>
      <c r="O7" s="355"/>
      <c r="P7" s="355"/>
      <c r="Q7" s="355"/>
      <c r="R7" s="17" t="str">
        <f>TESTYEAR</f>
        <v>FOR THE TWELVE MONTHS ENDED DECEMBER 31, 2010</v>
      </c>
      <c r="S7" s="17"/>
      <c r="T7" s="17"/>
      <c r="U7" s="82"/>
      <c r="V7" s="17" t="str">
        <f>TESTYEAR</f>
        <v>FOR THE TWELVE MONTHS ENDED DECEMBER 31, 2010</v>
      </c>
      <c r="W7" s="17"/>
      <c r="X7" s="17"/>
      <c r="Y7" s="20"/>
      <c r="Z7" s="17" t="str">
        <f>TESTYEAR</f>
        <v>FOR THE TWELVE MONTHS ENDED DECEMBER 31, 2010</v>
      </c>
      <c r="AA7" s="31"/>
      <c r="AB7" s="60"/>
      <c r="AC7" s="17"/>
      <c r="AD7" s="20"/>
      <c r="AE7" s="17" t="str">
        <f>TESTYEAR</f>
        <v>FOR THE TWELVE MONTHS ENDED DECEMBER 31, 2010</v>
      </c>
      <c r="AF7" s="17"/>
      <c r="AG7" s="17"/>
      <c r="AH7" s="17"/>
      <c r="AI7" s="20"/>
      <c r="AJ7" s="17" t="str">
        <f>TESTYEAR</f>
        <v>FOR THE TWELVE MONTHS ENDED DECEMBER 31, 2010</v>
      </c>
      <c r="AK7" s="731"/>
      <c r="AL7" s="731"/>
      <c r="AM7" s="731"/>
      <c r="AN7" s="731"/>
      <c r="AO7" s="17" t="str">
        <f>TESTYEAR</f>
        <v>FOR THE TWELVE MONTHS ENDED DECEMBER 31, 2010</v>
      </c>
      <c r="AP7" s="17"/>
      <c r="AQ7" s="17"/>
      <c r="AR7" s="17"/>
      <c r="AS7" s="17"/>
      <c r="AT7" s="17"/>
      <c r="AU7" s="17"/>
      <c r="AV7" s="20"/>
      <c r="AW7" s="20"/>
      <c r="AX7" s="17" t="str">
        <f>TESTYEAR</f>
        <v>FOR THE TWELVE MONTHS ENDED DECEMBER 31, 2010</v>
      </c>
      <c r="AY7" s="243"/>
      <c r="AZ7" s="243"/>
      <c r="BA7" s="243"/>
      <c r="BB7" s="243"/>
      <c r="BC7" s="17" t="str">
        <f>TESTYEAR</f>
        <v>FOR THE TWELVE MONTHS ENDED DECEMBER 31, 2010</v>
      </c>
      <c r="BD7" s="18"/>
      <c r="BE7" s="17"/>
      <c r="BF7" s="17"/>
      <c r="BG7" s="17"/>
      <c r="BH7" s="83"/>
      <c r="BI7" s="243" t="str">
        <f>TESTYEAR</f>
        <v>FOR THE TWELVE MONTHS ENDED DECEMBER 31, 2010</v>
      </c>
      <c r="BJ7" s="243"/>
      <c r="BK7" s="243"/>
      <c r="BL7" s="243"/>
      <c r="BM7" s="1487" t="s">
        <v>521</v>
      </c>
      <c r="BN7" s="1487"/>
      <c r="BO7" s="1487"/>
      <c r="BP7" s="1487"/>
      <c r="BQ7" s="1487"/>
      <c r="BR7" s="18" t="str">
        <f>TESTYEAR</f>
        <v>FOR THE TWELVE MONTHS ENDED DECEMBER 31, 2010</v>
      </c>
      <c r="BS7" s="17"/>
      <c r="BT7" s="17"/>
      <c r="BU7" s="17"/>
      <c r="BV7" s="17" t="str">
        <f>TESTYEAR</f>
        <v>FOR THE TWELVE MONTHS ENDED DECEMBER 31, 2010</v>
      </c>
      <c r="BW7" s="18"/>
      <c r="BX7" s="17"/>
      <c r="BY7" s="20"/>
      <c r="BZ7" s="17" t="str">
        <f>TESTYEAR</f>
        <v>FOR THE TWELVE MONTHS ENDED DECEMBER 31, 2010</v>
      </c>
      <c r="CA7" s="17"/>
      <c r="CB7" s="17"/>
      <c r="CC7" s="17"/>
      <c r="CD7" s="17" t="str">
        <f>TESTYEAR</f>
        <v>FOR THE TWELVE MONTHS ENDED DECEMBER 31, 2010</v>
      </c>
      <c r="CE7" s="29"/>
      <c r="CF7" s="20"/>
      <c r="CG7" s="20"/>
      <c r="CH7" s="20"/>
      <c r="CI7" s="17" t="str">
        <f>TESTYEAR</f>
        <v>FOR THE TWELVE MONTHS ENDED DECEMBER 31, 2010</v>
      </c>
      <c r="CJ7" s="29"/>
      <c r="CK7" s="20"/>
      <c r="CL7" s="20"/>
      <c r="CM7" s="20"/>
      <c r="CN7" s="17" t="str">
        <f>TESTYEAR</f>
        <v>FOR THE TWELVE MONTHS ENDED DECEMBER 31, 2010</v>
      </c>
      <c r="CO7" s="17"/>
      <c r="CP7" s="17"/>
      <c r="CQ7" s="17"/>
      <c r="CR7" s="20"/>
      <c r="CS7" s="17" t="str">
        <f>TESTYEAR</f>
        <v>FOR THE TWELVE MONTHS ENDED DECEMBER 31, 2010</v>
      </c>
      <c r="CT7" s="17"/>
      <c r="CU7" s="17"/>
      <c r="CV7" s="17"/>
      <c r="CW7" s="17"/>
      <c r="CX7" s="17" t="str">
        <f>TESTYEAR</f>
        <v>FOR THE TWELVE MONTHS ENDED DECEMBER 31, 2010</v>
      </c>
      <c r="CY7" s="17"/>
      <c r="CZ7" s="17"/>
      <c r="DA7" s="17"/>
      <c r="DB7" s="20"/>
      <c r="DC7" s="17" t="s">
        <v>1373</v>
      </c>
      <c r="DD7" s="17"/>
      <c r="DE7" s="17"/>
      <c r="DF7" s="17"/>
      <c r="DG7" s="17"/>
    </row>
    <row r="8" spans="1:111">
      <c r="A8" s="18" t="s">
        <v>57</v>
      </c>
      <c r="B8" s="18"/>
      <c r="C8" s="18"/>
      <c r="D8" s="18"/>
      <c r="E8" s="17"/>
      <c r="F8" s="17"/>
      <c r="G8" s="17"/>
      <c r="H8" s="18" t="s">
        <v>57</v>
      </c>
      <c r="I8" s="17"/>
      <c r="J8" s="17"/>
      <c r="K8" s="17"/>
      <c r="L8" s="17"/>
      <c r="M8" s="18" t="s">
        <v>57</v>
      </c>
      <c r="N8" s="250"/>
      <c r="O8" s="250"/>
      <c r="P8" s="251"/>
      <c r="Q8" s="251"/>
      <c r="R8" s="18" t="s">
        <v>57</v>
      </c>
      <c r="S8" s="18"/>
      <c r="T8" s="18"/>
      <c r="U8" s="82"/>
      <c r="V8" s="18" t="s">
        <v>57</v>
      </c>
      <c r="W8" s="17"/>
      <c r="X8" s="17"/>
      <c r="Y8" s="20"/>
      <c r="Z8" s="18" t="s">
        <v>57</v>
      </c>
      <c r="AA8" s="31"/>
      <c r="AB8" s="60"/>
      <c r="AC8" s="17"/>
      <c r="AD8" s="17"/>
      <c r="AE8" s="18" t="s">
        <v>57</v>
      </c>
      <c r="AF8" s="17"/>
      <c r="AG8" s="17"/>
      <c r="AH8" s="18"/>
      <c r="AI8" s="20"/>
      <c r="AJ8" s="17" t="s">
        <v>57</v>
      </c>
      <c r="AK8" s="731"/>
      <c r="AL8" s="731"/>
      <c r="AM8" s="731"/>
      <c r="AN8" s="731"/>
      <c r="AO8" s="18" t="s">
        <v>57</v>
      </c>
      <c r="AP8" s="17"/>
      <c r="AQ8" s="17"/>
      <c r="AR8" s="17"/>
      <c r="AS8" s="17"/>
      <c r="AT8" s="17"/>
      <c r="AU8" s="17"/>
      <c r="AV8" s="20"/>
      <c r="AW8" s="17"/>
      <c r="AX8" s="17" t="s">
        <v>57</v>
      </c>
      <c r="AY8" s="243"/>
      <c r="AZ8" s="243"/>
      <c r="BA8" s="243"/>
      <c r="BB8" s="243"/>
      <c r="BC8" s="18" t="s">
        <v>57</v>
      </c>
      <c r="BD8" s="18"/>
      <c r="BE8" s="18"/>
      <c r="BF8" s="17"/>
      <c r="BG8" s="17"/>
      <c r="BH8" s="83"/>
      <c r="BI8" s="291" t="s">
        <v>57</v>
      </c>
      <c r="BJ8" s="243"/>
      <c r="BK8" s="243"/>
      <c r="BL8" s="243"/>
      <c r="BM8" s="1487" t="s">
        <v>248</v>
      </c>
      <c r="BN8" s="1487"/>
      <c r="BO8" s="1487"/>
      <c r="BP8" s="1487"/>
      <c r="BQ8" s="1487"/>
      <c r="BR8" s="18" t="s">
        <v>57</v>
      </c>
      <c r="BS8" s="17"/>
      <c r="BT8" s="17"/>
      <c r="BU8" s="17"/>
      <c r="BV8" s="18" t="s">
        <v>57</v>
      </c>
      <c r="BW8" s="18"/>
      <c r="BX8" s="17"/>
      <c r="BY8" s="17"/>
      <c r="BZ8" s="18" t="s">
        <v>57</v>
      </c>
      <c r="CA8" s="17"/>
      <c r="CB8" s="17"/>
      <c r="CC8" s="17"/>
      <c r="CD8" s="18" t="s">
        <v>57</v>
      </c>
      <c r="CE8" s="28"/>
      <c r="CF8" s="17"/>
      <c r="CG8" s="17"/>
      <c r="CH8" s="17"/>
      <c r="CI8" s="18" t="s">
        <v>57</v>
      </c>
      <c r="CJ8" s="28"/>
      <c r="CK8" s="17"/>
      <c r="CL8" s="17"/>
      <c r="CM8" s="17"/>
      <c r="CN8" s="18" t="s">
        <v>57</v>
      </c>
      <c r="CO8" s="17"/>
      <c r="CP8" s="17"/>
      <c r="CQ8" s="17"/>
      <c r="CR8" s="20"/>
      <c r="CS8" s="17" t="s">
        <v>57</v>
      </c>
      <c r="CT8" s="17"/>
      <c r="CU8" s="17"/>
      <c r="CV8" s="17"/>
      <c r="CW8" s="17"/>
      <c r="CX8" s="18" t="s">
        <v>57</v>
      </c>
      <c r="CY8" s="17"/>
      <c r="CZ8" s="17"/>
      <c r="DA8" s="17"/>
      <c r="DB8" s="17"/>
      <c r="DC8" s="17" t="s">
        <v>521</v>
      </c>
      <c r="DD8" s="17"/>
      <c r="DE8" s="17"/>
      <c r="DF8" s="17"/>
      <c r="DG8" s="17"/>
    </row>
    <row r="9" spans="1:111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1"/>
      <c r="O9" s="251"/>
      <c r="P9" s="251"/>
      <c r="Q9" s="251"/>
      <c r="R9" s="16"/>
      <c r="S9" s="115"/>
      <c r="T9" s="115"/>
      <c r="U9" s="119"/>
      <c r="V9" s="16"/>
      <c r="W9" s="115"/>
      <c r="X9" s="51"/>
      <c r="Y9" s="51"/>
      <c r="Z9" s="16"/>
      <c r="AA9" s="16"/>
      <c r="AB9" s="758"/>
      <c r="AC9" s="1135"/>
      <c r="AD9" s="1135"/>
      <c r="AE9" s="16"/>
      <c r="AF9" s="80"/>
      <c r="AG9" s="80"/>
      <c r="AH9" s="81"/>
      <c r="AI9" s="81"/>
      <c r="AJ9" s="18"/>
      <c r="AK9" s="731"/>
      <c r="AL9" s="731"/>
      <c r="AM9" s="731"/>
      <c r="AN9" s="731"/>
      <c r="AO9" s="16"/>
      <c r="AP9" s="16"/>
      <c r="AQ9" s="4"/>
      <c r="AR9" s="4"/>
      <c r="AS9" s="4"/>
      <c r="AT9" s="4"/>
      <c r="AU9" s="4"/>
      <c r="AV9" s="4"/>
      <c r="AW9" s="4" t="s">
        <v>321</v>
      </c>
      <c r="AX9" s="16"/>
      <c r="AY9" s="16"/>
      <c r="AZ9" s="16"/>
      <c r="BA9" s="16"/>
      <c r="BB9" s="16"/>
      <c r="BC9" s="16"/>
      <c r="BD9" s="115"/>
      <c r="BE9" s="115"/>
      <c r="BF9" s="16"/>
      <c r="BG9" s="16"/>
      <c r="BH9" s="16"/>
      <c r="BI9" s="16"/>
      <c r="BJ9" s="115"/>
      <c r="BK9" s="16"/>
      <c r="BL9" s="16"/>
      <c r="BM9" s="105"/>
      <c r="BN9" s="105"/>
      <c r="BO9" s="105"/>
      <c r="BP9" s="105"/>
      <c r="BQ9" s="105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15"/>
      <c r="CP9" s="115"/>
      <c r="CQ9" s="16"/>
      <c r="CR9" s="16"/>
      <c r="CS9" s="16"/>
      <c r="CT9" s="16"/>
      <c r="CU9" s="16"/>
      <c r="CV9" s="16"/>
      <c r="CW9" s="16"/>
      <c r="CX9" s="77"/>
      <c r="CY9" s="115"/>
      <c r="CZ9" s="115"/>
      <c r="DA9" s="16"/>
      <c r="DB9" s="16"/>
      <c r="DC9" s="18" t="s">
        <v>57</v>
      </c>
      <c r="DD9" s="18"/>
      <c r="DE9" s="18"/>
      <c r="DF9" s="18"/>
      <c r="DG9" s="18"/>
    </row>
    <row r="10" spans="1:111" ht="13.5">
      <c r="A10" s="25" t="s">
        <v>1153</v>
      </c>
      <c r="B10" s="115"/>
      <c r="C10" s="115"/>
      <c r="D10" s="115"/>
      <c r="E10" s="16"/>
      <c r="F10" s="16"/>
      <c r="G10" s="4"/>
      <c r="H10" s="25" t="s">
        <v>1153</v>
      </c>
      <c r="I10" s="16"/>
      <c r="J10" s="4"/>
      <c r="K10" s="572"/>
      <c r="L10" s="572"/>
      <c r="M10" s="357" t="s">
        <v>1153</v>
      </c>
      <c r="N10" s="358"/>
      <c r="O10" s="358"/>
      <c r="P10" s="252"/>
      <c r="Q10" s="252"/>
      <c r="R10" s="4" t="s">
        <v>1153</v>
      </c>
      <c r="S10" s="16"/>
      <c r="T10" s="7"/>
      <c r="U10" s="86"/>
      <c r="V10" s="4" t="s">
        <v>1153</v>
      </c>
      <c r="W10" s="16"/>
      <c r="X10" s="1135" t="s">
        <v>503</v>
      </c>
      <c r="Y10" s="1135" t="s">
        <v>503</v>
      </c>
      <c r="Z10" s="4" t="s">
        <v>1164</v>
      </c>
      <c r="AA10" s="16"/>
      <c r="AB10" s="116"/>
      <c r="AC10" s="25" t="s">
        <v>1175</v>
      </c>
      <c r="AD10" s="25"/>
      <c r="AE10" s="4" t="s">
        <v>1153</v>
      </c>
      <c r="AF10" s="81"/>
      <c r="AG10" s="4"/>
      <c r="AH10" s="81"/>
      <c r="AI10" s="81"/>
      <c r="AJ10" s="25" t="s">
        <v>1153</v>
      </c>
      <c r="AK10" s="16"/>
      <c r="AL10" s="25"/>
      <c r="AM10" s="25"/>
      <c r="AN10" s="25"/>
      <c r="AO10" s="4" t="s">
        <v>1153</v>
      </c>
      <c r="AP10" s="16"/>
      <c r="AQ10" s="4" t="s">
        <v>1155</v>
      </c>
      <c r="AR10" s="4" t="s">
        <v>1156</v>
      </c>
      <c r="AS10" s="4" t="s">
        <v>1157</v>
      </c>
      <c r="AT10" s="4" t="s">
        <v>978</v>
      </c>
      <c r="AU10" s="4" t="s">
        <v>1157</v>
      </c>
      <c r="AV10" s="4" t="s">
        <v>1155</v>
      </c>
      <c r="AW10" s="4" t="s">
        <v>1400</v>
      </c>
      <c r="AX10" s="25" t="s">
        <v>1153</v>
      </c>
      <c r="AY10" s="16"/>
      <c r="AZ10" s="116"/>
      <c r="BA10" s="25"/>
      <c r="BB10" s="25"/>
      <c r="BC10" s="4" t="s">
        <v>1153</v>
      </c>
      <c r="BD10" s="16"/>
      <c r="BE10" s="1135" t="s">
        <v>503</v>
      </c>
      <c r="BF10" s="1135" t="s">
        <v>503</v>
      </c>
      <c r="BG10" s="1135" t="s">
        <v>503</v>
      </c>
      <c r="BH10" s="1135" t="s">
        <v>503</v>
      </c>
      <c r="BI10" s="4" t="s">
        <v>1153</v>
      </c>
      <c r="BJ10" s="16"/>
      <c r="BK10" s="16"/>
      <c r="BL10" s="16"/>
      <c r="BM10" s="739" t="s">
        <v>1153</v>
      </c>
      <c r="BN10" s="739"/>
      <c r="BO10" s="739"/>
      <c r="BP10" s="739"/>
      <c r="BQ10" s="739"/>
      <c r="BR10" s="25" t="s">
        <v>1153</v>
      </c>
      <c r="BS10" s="115"/>
      <c r="BT10" s="115"/>
      <c r="BU10" s="16"/>
      <c r="BV10" s="25" t="s">
        <v>1153</v>
      </c>
      <c r="BW10" s="16"/>
      <c r="BX10" s="16"/>
      <c r="BY10" s="16"/>
      <c r="BZ10" s="25" t="s">
        <v>1153</v>
      </c>
      <c r="CA10" s="115"/>
      <c r="CB10" s="115"/>
      <c r="CC10" s="16"/>
      <c r="CD10" s="25" t="s">
        <v>1153</v>
      </c>
      <c r="CE10" s="16"/>
      <c r="CF10" s="16"/>
      <c r="CG10" s="16"/>
      <c r="CH10" s="16"/>
      <c r="CI10" s="25" t="s">
        <v>1153</v>
      </c>
      <c r="CJ10" s="16"/>
      <c r="CK10" s="16"/>
      <c r="CL10" s="16"/>
      <c r="CM10" s="16"/>
      <c r="CN10" s="25" t="s">
        <v>1153</v>
      </c>
      <c r="CO10" s="16"/>
      <c r="CP10" s="4"/>
      <c r="CQ10" s="572"/>
      <c r="CR10" s="572"/>
      <c r="CS10" s="25" t="s">
        <v>1153</v>
      </c>
      <c r="CT10" s="16"/>
      <c r="CU10" s="569"/>
      <c r="CV10" s="572"/>
      <c r="CW10" s="1134"/>
      <c r="CX10" s="4" t="s">
        <v>1153</v>
      </c>
      <c r="CY10" s="16"/>
      <c r="CZ10" s="16"/>
      <c r="DA10" s="16"/>
      <c r="DB10" s="1134"/>
      <c r="DC10" s="77"/>
      <c r="DD10" s="115"/>
      <c r="DE10" s="16"/>
      <c r="DF10" s="16"/>
      <c r="DG10" s="16"/>
    </row>
    <row r="11" spans="1:111">
      <c r="A11" s="21" t="s">
        <v>1179</v>
      </c>
      <c r="B11" s="76" t="s">
        <v>323</v>
      </c>
      <c r="C11" s="76"/>
      <c r="D11" s="76" t="s">
        <v>1425</v>
      </c>
      <c r="E11" s="76"/>
      <c r="F11" s="76"/>
      <c r="G11" s="11"/>
      <c r="H11" s="21" t="s">
        <v>1179</v>
      </c>
      <c r="I11" s="76" t="s">
        <v>323</v>
      </c>
      <c r="J11" s="76" t="s">
        <v>1424</v>
      </c>
      <c r="K11" s="48" t="s">
        <v>327</v>
      </c>
      <c r="L11" s="48"/>
      <c r="M11" s="359" t="s">
        <v>1179</v>
      </c>
      <c r="N11" s="349" t="s">
        <v>323</v>
      </c>
      <c r="O11" s="359"/>
      <c r="P11" s="350"/>
      <c r="Q11" s="254" t="s">
        <v>327</v>
      </c>
      <c r="R11" s="11" t="s">
        <v>1179</v>
      </c>
      <c r="S11" s="122" t="s">
        <v>323</v>
      </c>
      <c r="T11" s="124"/>
      <c r="U11" s="87" t="s">
        <v>326</v>
      </c>
      <c r="V11" s="11" t="s">
        <v>1179</v>
      </c>
      <c r="W11" s="122" t="s">
        <v>323</v>
      </c>
      <c r="X11" s="11"/>
      <c r="Y11" s="11" t="s">
        <v>326</v>
      </c>
      <c r="Z11" s="11" t="s">
        <v>1179</v>
      </c>
      <c r="AA11" s="122" t="s">
        <v>323</v>
      </c>
      <c r="AB11" s="61" t="s">
        <v>1178</v>
      </c>
      <c r="AC11" s="62" t="s">
        <v>324</v>
      </c>
      <c r="AD11" s="21" t="s">
        <v>327</v>
      </c>
      <c r="AE11" s="11" t="s">
        <v>1179</v>
      </c>
      <c r="AF11" s="22" t="s">
        <v>323</v>
      </c>
      <c r="AG11" s="11" t="s">
        <v>328</v>
      </c>
      <c r="AH11" s="11" t="s">
        <v>324</v>
      </c>
      <c r="AI11" s="88" t="s">
        <v>327</v>
      </c>
      <c r="AJ11" s="11" t="s">
        <v>1179</v>
      </c>
      <c r="AK11" s="76" t="s">
        <v>323</v>
      </c>
      <c r="AL11" s="11" t="s">
        <v>328</v>
      </c>
      <c r="AM11" s="11" t="s">
        <v>324</v>
      </c>
      <c r="AN11" s="21" t="s">
        <v>327</v>
      </c>
      <c r="AO11" s="11" t="s">
        <v>1179</v>
      </c>
      <c r="AP11" s="11" t="s">
        <v>329</v>
      </c>
      <c r="AQ11" s="11" t="s">
        <v>1163</v>
      </c>
      <c r="AR11" s="11" t="s">
        <v>330</v>
      </c>
      <c r="AS11" s="11" t="s">
        <v>331</v>
      </c>
      <c r="AT11" s="11" t="s">
        <v>330</v>
      </c>
      <c r="AU11" s="11" t="s">
        <v>332</v>
      </c>
      <c r="AV11" s="11" t="s">
        <v>330</v>
      </c>
      <c r="AW11" s="11" t="s">
        <v>333</v>
      </c>
      <c r="AX11" s="11" t="s">
        <v>1179</v>
      </c>
      <c r="AY11" s="122" t="s">
        <v>323</v>
      </c>
      <c r="AZ11" s="61" t="s">
        <v>1178</v>
      </c>
      <c r="BA11" s="62" t="s">
        <v>324</v>
      </c>
      <c r="BB11" s="21" t="s">
        <v>327</v>
      </c>
      <c r="BC11" s="11" t="s">
        <v>1179</v>
      </c>
      <c r="BD11" s="122" t="s">
        <v>323</v>
      </c>
      <c r="BE11" s="11" t="s">
        <v>334</v>
      </c>
      <c r="BF11" s="11" t="s">
        <v>1170</v>
      </c>
      <c r="BG11" s="11" t="s">
        <v>383</v>
      </c>
      <c r="BH11" s="11" t="s">
        <v>335</v>
      </c>
      <c r="BI11" s="11" t="s">
        <v>1179</v>
      </c>
      <c r="BJ11" s="122" t="s">
        <v>323</v>
      </c>
      <c r="BK11" s="76"/>
      <c r="BL11" s="11" t="s">
        <v>326</v>
      </c>
      <c r="BM11" s="999" t="s">
        <v>1179</v>
      </c>
      <c r="BN11" s="999" t="s">
        <v>323</v>
      </c>
      <c r="BO11" s="999" t="s">
        <v>328</v>
      </c>
      <c r="BP11" s="999" t="s">
        <v>324</v>
      </c>
      <c r="BQ11" s="999" t="s">
        <v>327</v>
      </c>
      <c r="BR11" s="21" t="s">
        <v>1179</v>
      </c>
      <c r="BS11" s="22" t="s">
        <v>323</v>
      </c>
      <c r="BT11" s="11"/>
      <c r="BU11" s="23" t="s">
        <v>326</v>
      </c>
      <c r="BV11" s="11" t="s">
        <v>1179</v>
      </c>
      <c r="BW11" s="22" t="s">
        <v>323</v>
      </c>
      <c r="BX11" s="122"/>
      <c r="BY11" s="23" t="s">
        <v>326</v>
      </c>
      <c r="BZ11" s="21" t="s">
        <v>1179</v>
      </c>
      <c r="CA11" s="76" t="s">
        <v>323</v>
      </c>
      <c r="CB11" s="76"/>
      <c r="CC11" s="23" t="s">
        <v>326</v>
      </c>
      <c r="CD11" s="11" t="s">
        <v>1179</v>
      </c>
      <c r="CE11" s="22" t="s">
        <v>323</v>
      </c>
      <c r="CF11" s="21" t="s">
        <v>1178</v>
      </c>
      <c r="CG11" s="65" t="s">
        <v>1175</v>
      </c>
      <c r="CH11" s="65" t="s">
        <v>327</v>
      </c>
      <c r="CI11" s="11" t="s">
        <v>1179</v>
      </c>
      <c r="CJ11" s="22" t="s">
        <v>323</v>
      </c>
      <c r="CK11" s="65" t="s">
        <v>1178</v>
      </c>
      <c r="CL11" s="65" t="s">
        <v>324</v>
      </c>
      <c r="CM11" s="65" t="s">
        <v>327</v>
      </c>
      <c r="CN11" s="21" t="s">
        <v>1179</v>
      </c>
      <c r="CO11" s="76" t="s">
        <v>323</v>
      </c>
      <c r="CP11" s="11" t="s">
        <v>328</v>
      </c>
      <c r="CQ11" s="11" t="s">
        <v>336</v>
      </c>
      <c r="CR11" s="11" t="s">
        <v>327</v>
      </c>
      <c r="CS11" s="11" t="s">
        <v>1179</v>
      </c>
      <c r="CT11" s="76" t="s">
        <v>323</v>
      </c>
      <c r="CU11" s="11"/>
      <c r="CV11" s="11"/>
      <c r="CW11" s="65" t="s">
        <v>326</v>
      </c>
      <c r="CX11" s="11" t="s">
        <v>1179</v>
      </c>
      <c r="CY11" s="76" t="s">
        <v>323</v>
      </c>
      <c r="CZ11" s="76"/>
      <c r="DA11" s="11"/>
      <c r="DB11" s="65" t="s">
        <v>326</v>
      </c>
      <c r="DC11" s="4" t="s">
        <v>1153</v>
      </c>
      <c r="DD11" s="4"/>
      <c r="DE11" s="4"/>
      <c r="DF11" s="4"/>
      <c r="DG11" s="4"/>
    </row>
    <row r="12" spans="1:111" s="1310" customFormat="1">
      <c r="A12" s="8">
        <v>1</v>
      </c>
      <c r="B12" s="101" t="s">
        <v>537</v>
      </c>
      <c r="C12" s="9"/>
      <c r="D12" s="9"/>
      <c r="E12" s="1242"/>
      <c r="F12" s="36"/>
      <c r="G12" s="1242"/>
      <c r="H12" s="383"/>
      <c r="I12" s="112"/>
      <c r="J12" s="112"/>
      <c r="K12" s="38"/>
      <c r="L12" s="38"/>
      <c r="M12" s="13"/>
      <c r="N12" s="1375"/>
      <c r="O12" s="1375"/>
      <c r="P12" s="1375"/>
      <c r="Q12" s="1375"/>
      <c r="R12" s="13"/>
      <c r="S12" s="1242"/>
      <c r="T12" s="92"/>
      <c r="U12" s="109"/>
      <c r="V12" s="13"/>
      <c r="W12" s="72"/>
      <c r="X12" s="73"/>
      <c r="Y12" s="54"/>
      <c r="Z12" s="38"/>
      <c r="AA12" s="544"/>
      <c r="AB12" s="545"/>
      <c r="AC12" s="546"/>
      <c r="AD12" s="383"/>
      <c r="AE12" s="13"/>
      <c r="AF12" s="9"/>
      <c r="AG12" s="26"/>
      <c r="AH12" s="26"/>
      <c r="AI12" s="26"/>
      <c r="AJ12" s="1242"/>
      <c r="AK12" s="139"/>
      <c r="AL12" s="139"/>
      <c r="AM12" s="139"/>
      <c r="AN12" s="139"/>
      <c r="AO12" s="13"/>
      <c r="AP12" s="1242"/>
      <c r="AQ12" s="1242"/>
      <c r="AR12" s="1242"/>
      <c r="AS12" s="1242"/>
      <c r="AT12" s="1242"/>
      <c r="AU12" s="1242"/>
      <c r="AV12" s="1242"/>
      <c r="AW12" s="1242"/>
      <c r="AX12" s="1242"/>
      <c r="AY12" s="1242"/>
      <c r="AZ12" s="1242"/>
      <c r="BA12" s="1242"/>
      <c r="BB12" s="109"/>
      <c r="BC12" s="13"/>
      <c r="BD12" s="1242"/>
      <c r="BE12" s="1242"/>
      <c r="BF12" s="1242"/>
      <c r="BG12" s="1242"/>
      <c r="BH12" s="1242"/>
      <c r="BI12" s="1242"/>
      <c r="BJ12" s="1242"/>
      <c r="BK12" s="1242"/>
      <c r="BL12" s="1242"/>
      <c r="BM12" s="762"/>
      <c r="BN12" s="762"/>
      <c r="BO12" s="762"/>
      <c r="BP12" s="762"/>
      <c r="BQ12" s="762"/>
      <c r="BR12" s="1242"/>
      <c r="BS12" s="1242"/>
      <c r="BT12" s="1242"/>
      <c r="BU12" s="1242"/>
      <c r="BV12" s="1242"/>
      <c r="BW12" s="1242"/>
      <c r="BX12" s="128"/>
      <c r="BY12" s="128"/>
      <c r="BZ12" s="1242"/>
      <c r="CA12" s="1242"/>
      <c r="CB12" s="1242"/>
      <c r="CC12" s="1242"/>
      <c r="CD12" s="1242"/>
      <c r="CE12" s="1242"/>
      <c r="CF12" s="1242"/>
      <c r="CG12" s="1242"/>
      <c r="CH12" s="1242"/>
      <c r="CI12" s="1242"/>
      <c r="CJ12" s="1242"/>
      <c r="CK12" s="1242"/>
      <c r="CL12" s="1242"/>
      <c r="CM12" s="1242"/>
      <c r="CN12" s="8"/>
      <c r="CO12" s="9"/>
      <c r="CP12" s="1242"/>
      <c r="CQ12" s="1242"/>
      <c r="CR12" s="1242"/>
      <c r="CS12" s="13"/>
      <c r="CT12" s="13"/>
      <c r="CU12" s="13"/>
      <c r="CV12" s="13"/>
      <c r="CW12" s="13"/>
      <c r="CX12" s="1242"/>
      <c r="CY12" s="1242"/>
      <c r="CZ12" s="1242"/>
      <c r="DA12" s="38"/>
      <c r="DB12" s="38"/>
      <c r="DC12" s="35" t="s">
        <v>1179</v>
      </c>
      <c r="DD12" s="35" t="s">
        <v>323</v>
      </c>
      <c r="DE12" s="35" t="s">
        <v>328</v>
      </c>
      <c r="DF12" s="35" t="s">
        <v>324</v>
      </c>
      <c r="DG12" s="1376" t="s">
        <v>327</v>
      </c>
    </row>
    <row r="13" spans="1:111" s="1310" customFormat="1" ht="13.5">
      <c r="A13" s="3">
        <f t="shared" ref="A13:A44" si="0">+A12+1</f>
        <v>2</v>
      </c>
      <c r="B13" s="1242"/>
      <c r="C13" s="37" t="s">
        <v>1178</v>
      </c>
      <c r="D13" s="38" t="s">
        <v>354</v>
      </c>
      <c r="E13" s="39" t="s">
        <v>355</v>
      </c>
      <c r="F13" s="8" t="s">
        <v>356</v>
      </c>
      <c r="G13" s="1242"/>
      <c r="H13" s="8">
        <v>1</v>
      </c>
      <c r="I13" s="1242" t="s">
        <v>1030</v>
      </c>
      <c r="J13" s="1242"/>
      <c r="K13" s="1242"/>
      <c r="L13" s="1242"/>
      <c r="M13" s="8">
        <v>1</v>
      </c>
      <c r="N13" s="419" t="s">
        <v>925</v>
      </c>
      <c r="O13" s="353"/>
      <c r="P13" s="353"/>
      <c r="Q13" s="353"/>
      <c r="R13" s="8">
        <v>1</v>
      </c>
      <c r="S13" s="92" t="s">
        <v>1426</v>
      </c>
      <c r="T13" s="389"/>
      <c r="U13" s="57">
        <v>-187810291.99489999</v>
      </c>
      <c r="V13" s="8">
        <v>1</v>
      </c>
      <c r="W13" s="72" t="s">
        <v>365</v>
      </c>
      <c r="X13" s="1195">
        <f>'JHS-19'!AR51-X25</f>
        <v>4853248427</v>
      </c>
      <c r="Y13" s="54" t="s">
        <v>939</v>
      </c>
      <c r="Z13" s="1121">
        <v>1</v>
      </c>
      <c r="AA13" s="1121" t="s">
        <v>167</v>
      </c>
      <c r="AB13" s="57"/>
      <c r="AC13" s="110"/>
      <c r="AD13" s="130"/>
      <c r="AE13" s="8">
        <v>1</v>
      </c>
      <c r="AF13" s="1068" t="s">
        <v>568</v>
      </c>
      <c r="AG13" s="49"/>
      <c r="AH13" s="573"/>
      <c r="AI13" s="49"/>
      <c r="AJ13" s="8">
        <v>1</v>
      </c>
      <c r="AK13" s="347" t="s">
        <v>657</v>
      </c>
      <c r="AL13" s="736">
        <v>195770.8014</v>
      </c>
      <c r="AM13" s="736">
        <v>1109327.7804666667</v>
      </c>
      <c r="AN13" s="736">
        <f>AM13-AL13</f>
        <v>913556.97906666668</v>
      </c>
      <c r="AO13" s="8">
        <v>1</v>
      </c>
      <c r="AP13" s="1242" t="s">
        <v>878</v>
      </c>
      <c r="AQ13" s="8" t="s">
        <v>880</v>
      </c>
      <c r="AR13" s="8" t="s">
        <v>879</v>
      </c>
      <c r="AS13" s="8" t="s">
        <v>879</v>
      </c>
      <c r="AT13" s="8" t="s">
        <v>879</v>
      </c>
      <c r="AU13" s="8" t="s">
        <v>879</v>
      </c>
      <c r="AV13" s="8" t="s">
        <v>879</v>
      </c>
      <c r="AW13" s="1242"/>
      <c r="AX13" s="8">
        <v>1</v>
      </c>
      <c r="AY13" s="426" t="s">
        <v>1136</v>
      </c>
      <c r="AZ13" s="129"/>
      <c r="BA13" s="129"/>
      <c r="BB13" s="131"/>
      <c r="BC13" s="8">
        <v>1</v>
      </c>
      <c r="BD13" s="92" t="s">
        <v>942</v>
      </c>
      <c r="BE13" s="1121">
        <v>27835239</v>
      </c>
      <c r="BF13" s="1121">
        <v>9294613</v>
      </c>
      <c r="BG13" s="1121">
        <v>618282</v>
      </c>
      <c r="BH13" s="1121">
        <f>+BE13+BF13+BG13</f>
        <v>37748134</v>
      </c>
      <c r="BI13" s="8">
        <v>1</v>
      </c>
      <c r="BJ13" s="1242" t="s">
        <v>777</v>
      </c>
      <c r="BK13" s="1242"/>
      <c r="BL13" s="6">
        <v>79150521</v>
      </c>
      <c r="BM13" s="1068">
        <v>1</v>
      </c>
      <c r="BN13" s="1068" t="s">
        <v>700</v>
      </c>
      <c r="BO13" s="573">
        <v>322483.72359809373</v>
      </c>
      <c r="BP13" s="573">
        <v>270816.37514571205</v>
      </c>
      <c r="BQ13" s="573">
        <v>-51667.348452381673</v>
      </c>
      <c r="BR13" s="3" t="s">
        <v>352</v>
      </c>
      <c r="BS13" s="112" t="s">
        <v>1137</v>
      </c>
      <c r="BT13" s="112"/>
      <c r="BU13" s="133">
        <v>47149</v>
      </c>
      <c r="BV13" s="8">
        <v>1</v>
      </c>
      <c r="BW13" s="9" t="s">
        <v>246</v>
      </c>
      <c r="BX13" s="813"/>
      <c r="BY13" s="351"/>
      <c r="BZ13" s="3" t="s">
        <v>352</v>
      </c>
      <c r="CA13" s="249" t="s">
        <v>1139</v>
      </c>
      <c r="CB13" s="249"/>
      <c r="CC13" s="135">
        <v>-1822806.2499999967</v>
      </c>
      <c r="CD13" s="8">
        <v>1</v>
      </c>
      <c r="CE13" s="1242" t="s">
        <v>1248</v>
      </c>
      <c r="CF13" s="126">
        <v>2661295.1951080002</v>
      </c>
      <c r="CG13" s="126">
        <v>2817401.1726639997</v>
      </c>
      <c r="CH13" s="57">
        <f>+CG13-CF13</f>
        <v>156105.97755599953</v>
      </c>
      <c r="CI13" s="8">
        <v>1</v>
      </c>
      <c r="CJ13" s="1242" t="s">
        <v>59</v>
      </c>
      <c r="CK13" s="126">
        <v>3279191.9145824802</v>
      </c>
      <c r="CL13" s="126">
        <v>5594712.966</v>
      </c>
      <c r="CM13" s="126">
        <f>+CL13-CK13</f>
        <v>2315521.0514175198</v>
      </c>
      <c r="CN13" s="8">
        <v>1</v>
      </c>
      <c r="CO13" s="1242" t="s">
        <v>385</v>
      </c>
      <c r="CP13" s="54"/>
      <c r="CQ13" s="64"/>
      <c r="CR13" s="54"/>
      <c r="CS13" s="8">
        <v>1</v>
      </c>
      <c r="CT13" s="696" t="s">
        <v>174</v>
      </c>
      <c r="CU13" s="1242"/>
      <c r="CV13" s="1242"/>
      <c r="CW13" s="110"/>
      <c r="CX13" s="8">
        <v>1</v>
      </c>
      <c r="CY13" s="127" t="s">
        <v>384</v>
      </c>
      <c r="CZ13" s="1242"/>
      <c r="DA13" s="41"/>
      <c r="DB13" s="41"/>
      <c r="DC13" s="1068"/>
      <c r="DD13" s="1068"/>
      <c r="DE13" s="1068"/>
      <c r="DF13" s="1068"/>
      <c r="DG13" s="1068"/>
    </row>
    <row r="14" spans="1:111" s="1310" customFormat="1" ht="13.5" thickBot="1">
      <c r="A14" s="3">
        <f t="shared" si="0"/>
        <v>3</v>
      </c>
      <c r="B14" s="1242"/>
      <c r="C14" s="40" t="s">
        <v>362</v>
      </c>
      <c r="D14" s="41" t="s">
        <v>362</v>
      </c>
      <c r="E14" s="42" t="s">
        <v>363</v>
      </c>
      <c r="F14" s="423">
        <v>6.8000000000000005E-2</v>
      </c>
      <c r="G14" s="1242"/>
      <c r="H14" s="3">
        <f t="shared" ref="H14:H59" si="1">+H13+1</f>
        <v>2</v>
      </c>
      <c r="I14" s="79" t="s">
        <v>598</v>
      </c>
      <c r="J14" s="1242"/>
      <c r="K14" s="1242"/>
      <c r="L14" s="1242"/>
      <c r="M14" s="8">
        <f t="shared" ref="M14:M44" si="2">M13+1</f>
        <v>2</v>
      </c>
      <c r="N14" s="360" t="s">
        <v>829</v>
      </c>
      <c r="O14" s="353"/>
      <c r="P14" s="348"/>
      <c r="Q14" s="736">
        <v>78809572.054639354</v>
      </c>
      <c r="R14" s="8">
        <f t="shared" ref="R14:R37" si="3">R13+1</f>
        <v>2</v>
      </c>
      <c r="S14" s="9"/>
      <c r="T14" s="9"/>
      <c r="U14" s="137"/>
      <c r="V14" s="8">
        <f t="shared" ref="V14:V23" si="4">V13+1</f>
        <v>2</v>
      </c>
      <c r="W14" s="72" t="s">
        <v>939</v>
      </c>
      <c r="X14" s="2" t="s">
        <v>939</v>
      </c>
      <c r="Y14" s="129"/>
      <c r="Z14" s="5">
        <f t="shared" ref="Z14:Z31" si="5">Z13+1</f>
        <v>2</v>
      </c>
      <c r="AA14" s="5" t="s">
        <v>734</v>
      </c>
      <c r="AB14" s="5">
        <v>-3790492.57</v>
      </c>
      <c r="AC14" s="332">
        <v>0</v>
      </c>
      <c r="AD14" s="332">
        <f>AC14-AB14</f>
        <v>3790492.57</v>
      </c>
      <c r="AE14" s="8">
        <f t="shared" ref="AE14:AE25" si="6">AE13+1</f>
        <v>2</v>
      </c>
      <c r="AF14" s="9" t="s">
        <v>496</v>
      </c>
      <c r="AG14" s="49">
        <v>0</v>
      </c>
      <c r="AH14" s="573">
        <v>-359644.18475228845</v>
      </c>
      <c r="AI14" s="49">
        <f>+AH14-AG14</f>
        <v>-359644.18475228845</v>
      </c>
      <c r="AJ14" s="8">
        <v>2</v>
      </c>
      <c r="AK14" s="351" t="s">
        <v>658</v>
      </c>
      <c r="AL14" s="800">
        <v>615331.37416799995</v>
      </c>
      <c r="AM14" s="800">
        <v>818110.31492147094</v>
      </c>
      <c r="AN14" s="800">
        <f>AM14-AL14</f>
        <v>202778.94075347099</v>
      </c>
      <c r="AO14" s="8">
        <f t="shared" ref="AO14:AO28" si="7">AO13+1</f>
        <v>2</v>
      </c>
      <c r="AP14" s="522">
        <v>2007</v>
      </c>
      <c r="AQ14" s="129">
        <v>6924811.8900000006</v>
      </c>
      <c r="AR14" s="47">
        <v>1922618327</v>
      </c>
      <c r="AS14" s="47">
        <v>111070231</v>
      </c>
      <c r="AT14" s="47">
        <v>43200762</v>
      </c>
      <c r="AU14" s="47">
        <v>373024</v>
      </c>
      <c r="AV14" s="47">
        <f>AR14-AS14-AT14-AU14</f>
        <v>1767974310</v>
      </c>
      <c r="AW14" s="520">
        <f>ROUND(AQ14/AV14,6)</f>
        <v>3.9170000000000003E-3</v>
      </c>
      <c r="AX14" s="8">
        <f t="shared" ref="AX14:AX30" si="8">AX13+1</f>
        <v>2</v>
      </c>
      <c r="AY14" s="269" t="s">
        <v>1272</v>
      </c>
      <c r="AZ14" s="129">
        <v>261243</v>
      </c>
      <c r="BA14" s="129">
        <v>228708.05095969615</v>
      </c>
      <c r="BB14" s="131">
        <f t="shared" ref="BB14:BB21" si="9">BA14-AZ14</f>
        <v>-32534.949040303851</v>
      </c>
      <c r="BC14" s="8">
        <f t="shared" ref="BC14:BC19" si="10">BC13+1</f>
        <v>2</v>
      </c>
      <c r="BD14" s="9" t="s">
        <v>358</v>
      </c>
      <c r="BE14" s="5">
        <v>23853529</v>
      </c>
      <c r="BF14" s="5">
        <v>8578000</v>
      </c>
      <c r="BG14" s="5">
        <v>645631.91999999993</v>
      </c>
      <c r="BH14" s="5">
        <f>+BE14+BF14+BG14</f>
        <v>33077160.920000002</v>
      </c>
      <c r="BI14" s="8">
        <f t="shared" ref="BI14:BI24" si="11">BI13+1</f>
        <v>2</v>
      </c>
      <c r="BJ14" s="1242" t="s">
        <v>359</v>
      </c>
      <c r="BK14" s="1242"/>
      <c r="BL14" s="5">
        <v>78841322.577215001</v>
      </c>
      <c r="BM14" s="1068">
        <v>2</v>
      </c>
      <c r="BN14" s="1068"/>
      <c r="BO14" s="800"/>
      <c r="BP14" s="800"/>
      <c r="BQ14" s="800"/>
      <c r="BR14" s="3">
        <f>BR13+1</f>
        <v>2</v>
      </c>
      <c r="BS14" s="1242"/>
      <c r="BT14" s="1242"/>
      <c r="BU14" s="134"/>
      <c r="BV14" s="8">
        <f t="shared" ref="BV14:BV31" si="12">+BV13+1</f>
        <v>2</v>
      </c>
      <c r="BW14" s="9"/>
      <c r="BX14" s="813"/>
      <c r="BY14" s="351"/>
      <c r="BZ14" s="3">
        <f t="shared" ref="BZ14:BZ31" si="13">1+BZ13</f>
        <v>2</v>
      </c>
      <c r="CA14" s="249" t="s">
        <v>1140</v>
      </c>
      <c r="CB14" s="249"/>
      <c r="CC14" s="151">
        <v>107709.44000000006</v>
      </c>
      <c r="CD14" s="8">
        <f t="shared" ref="CD14:CD20" si="14">CD13+1</f>
        <v>2</v>
      </c>
      <c r="CE14" s="1242" t="s">
        <v>1249</v>
      </c>
      <c r="CF14" s="55">
        <v>1594751.9440727741</v>
      </c>
      <c r="CG14" s="55">
        <v>1630149.7991682999</v>
      </c>
      <c r="CH14" s="55">
        <f>+CG14-CF14</f>
        <v>35397.855095525738</v>
      </c>
      <c r="CI14" s="8">
        <f>CI13+1</f>
        <v>2</v>
      </c>
      <c r="CJ14" s="1242" t="s">
        <v>1281</v>
      </c>
      <c r="CK14" s="55">
        <v>469391.995068844</v>
      </c>
      <c r="CL14" s="55">
        <v>0</v>
      </c>
      <c r="CM14" s="453">
        <f>+CL14-CK14</f>
        <v>-469391.995068844</v>
      </c>
      <c r="CN14" s="8">
        <v>2</v>
      </c>
      <c r="CO14" s="9" t="s">
        <v>1272</v>
      </c>
      <c r="CP14" s="818">
        <v>3782810</v>
      </c>
      <c r="CQ14" s="818">
        <v>3895048</v>
      </c>
      <c r="CR14" s="126">
        <f t="shared" ref="CR14:CR21" si="15">CQ14-CP14</f>
        <v>112238</v>
      </c>
      <c r="CS14" s="8">
        <f t="shared" ref="CS14:CS40" si="16">CS13+1</f>
        <v>2</v>
      </c>
      <c r="CT14" s="269" t="s">
        <v>389</v>
      </c>
      <c r="CU14" s="343"/>
      <c r="CV14" s="378">
        <v>5398752.8110579997</v>
      </c>
      <c r="CX14" s="8">
        <v>2</v>
      </c>
      <c r="CY14" s="9" t="s">
        <v>43</v>
      </c>
      <c r="CZ14" s="9"/>
      <c r="DA14" s="132"/>
      <c r="DB14" s="726">
        <v>12639719.500800001</v>
      </c>
      <c r="DC14" s="8">
        <v>1</v>
      </c>
      <c r="DD14" s="1068" t="s">
        <v>1374</v>
      </c>
      <c r="DE14" s="1093">
        <v>204952588</v>
      </c>
      <c r="DF14" s="1093">
        <v>203573760.0878062</v>
      </c>
      <c r="DG14" s="1093">
        <f>DF14-DE14</f>
        <v>-1378827.912193805</v>
      </c>
    </row>
    <row r="15" spans="1:111" s="1310" customFormat="1" ht="15" thickTop="1" thickBot="1">
      <c r="A15" s="3">
        <f t="shared" si="0"/>
        <v>4</v>
      </c>
      <c r="B15" s="143">
        <v>40179</v>
      </c>
      <c r="C15" s="144">
        <v>2154813.7650000001</v>
      </c>
      <c r="D15" s="145">
        <v>2282982.5306760571</v>
      </c>
      <c r="E15" s="36">
        <f t="shared" ref="E15:E26" si="17">+D15-C15</f>
        <v>128168.76567605697</v>
      </c>
      <c r="F15" s="36">
        <f t="shared" ref="F15:F26" si="18">ROUND(+E15*(1-$F$14),0)</f>
        <v>119453</v>
      </c>
      <c r="G15" s="1242"/>
      <c r="H15" s="3">
        <f t="shared" si="1"/>
        <v>3</v>
      </c>
      <c r="I15" s="524" t="s">
        <v>972</v>
      </c>
      <c r="J15" s="170"/>
      <c r="K15" s="736">
        <v>6061237.2740295175</v>
      </c>
      <c r="L15" s="806"/>
      <c r="M15" s="8">
        <f t="shared" si="2"/>
        <v>3</v>
      </c>
      <c r="N15" s="360" t="s">
        <v>830</v>
      </c>
      <c r="O15" s="343"/>
      <c r="P15" s="348"/>
      <c r="Q15" s="348">
        <v>75028227.010000005</v>
      </c>
      <c r="R15" s="8">
        <f t="shared" si="3"/>
        <v>3</v>
      </c>
      <c r="S15" s="43" t="s">
        <v>1277</v>
      </c>
      <c r="T15" s="10">
        <f>FIT</f>
        <v>0.35</v>
      </c>
      <c r="U15" s="96">
        <f>+U13*T15</f>
        <v>-65733602.198214993</v>
      </c>
      <c r="V15" s="8">
        <f t="shared" si="4"/>
        <v>3</v>
      </c>
      <c r="W15" s="249" t="s">
        <v>1253</v>
      </c>
      <c r="X15" s="1318">
        <f>SUM(X13:X14)</f>
        <v>4853248427</v>
      </c>
      <c r="Y15" s="129"/>
      <c r="Z15" s="1121">
        <f t="shared" si="5"/>
        <v>3</v>
      </c>
      <c r="AA15" s="1121" t="s">
        <v>735</v>
      </c>
      <c r="AB15" s="57">
        <v>-1569757</v>
      </c>
      <c r="AC15" s="149">
        <v>0</v>
      </c>
      <c r="AD15" s="128">
        <f>AC15-AB15</f>
        <v>1569757</v>
      </c>
      <c r="AE15" s="8">
        <f t="shared" si="6"/>
        <v>3</v>
      </c>
      <c r="AF15" s="9" t="s">
        <v>528</v>
      </c>
      <c r="AG15" s="807">
        <v>0</v>
      </c>
      <c r="AH15" s="800">
        <f>-AH14*0.35</f>
        <v>125875.46466330095</v>
      </c>
      <c r="AI15" s="807">
        <f>+AH15-AG15</f>
        <v>125875.46466330095</v>
      </c>
      <c r="AJ15" s="8">
        <v>3</v>
      </c>
      <c r="AK15" s="351" t="s">
        <v>659</v>
      </c>
      <c r="AL15" s="745">
        <f>SUM(AL13:AL14)</f>
        <v>811102.17556799995</v>
      </c>
      <c r="AM15" s="745">
        <f>SUM(AM13:AM14)</f>
        <v>1927438.0953881377</v>
      </c>
      <c r="AN15" s="745">
        <f>SUM(AN13:AN14)</f>
        <v>1116335.9198201378</v>
      </c>
      <c r="AO15" s="8">
        <f t="shared" si="7"/>
        <v>3</v>
      </c>
      <c r="AP15" s="522">
        <v>2008</v>
      </c>
      <c r="AQ15" s="129">
        <v>8122859.9500000011</v>
      </c>
      <c r="AR15" s="47">
        <v>2132433310</v>
      </c>
      <c r="AS15" s="47">
        <v>95513282</v>
      </c>
      <c r="AT15" s="47">
        <v>59332118</v>
      </c>
      <c r="AU15" s="47">
        <v>374652</v>
      </c>
      <c r="AV15" s="47">
        <f>AR15-AS15-AT15-AU15</f>
        <v>1977213258</v>
      </c>
      <c r="AW15" s="520">
        <f>ROUND(AQ15/AV15,6)</f>
        <v>4.1079999999999997E-3</v>
      </c>
      <c r="AX15" s="8">
        <f t="shared" si="8"/>
        <v>3</v>
      </c>
      <c r="AY15" s="269" t="s">
        <v>1273</v>
      </c>
      <c r="AZ15" s="128">
        <v>1299242</v>
      </c>
      <c r="BA15" s="128">
        <v>1147368.218159779</v>
      </c>
      <c r="BB15" s="128">
        <f t="shared" si="9"/>
        <v>-151873.78184022103</v>
      </c>
      <c r="BC15" s="8">
        <f t="shared" si="10"/>
        <v>3</v>
      </c>
      <c r="BD15" s="9" t="s">
        <v>1250</v>
      </c>
      <c r="BE15" s="1121">
        <f>BE13-BE14</f>
        <v>3981710</v>
      </c>
      <c r="BF15" s="1121">
        <f>BF13-BF14</f>
        <v>716613</v>
      </c>
      <c r="BG15" s="1121">
        <f>BG13-BG14</f>
        <v>-27349.919999999925</v>
      </c>
      <c r="BH15" s="1121">
        <f>BH13-BH14</f>
        <v>4670973.0799999982</v>
      </c>
      <c r="BI15" s="8">
        <f t="shared" si="11"/>
        <v>3</v>
      </c>
      <c r="BJ15" s="1242" t="s">
        <v>778</v>
      </c>
      <c r="BK15" s="1242"/>
      <c r="BL15" s="6">
        <f>(BL13-BL14)</f>
        <v>309198.42278499901</v>
      </c>
      <c r="BM15" s="1068">
        <v>3</v>
      </c>
      <c r="BN15" s="1068" t="s">
        <v>21</v>
      </c>
      <c r="BO15" s="745">
        <v>322483.72359809373</v>
      </c>
      <c r="BP15" s="745">
        <v>270816.37514571205</v>
      </c>
      <c r="BQ15" s="745">
        <v>-51667.348452381673</v>
      </c>
      <c r="BR15" s="3">
        <f>BR14+1</f>
        <v>3</v>
      </c>
      <c r="BS15" s="1242" t="s">
        <v>369</v>
      </c>
      <c r="BT15" s="1242"/>
      <c r="BU15" s="802">
        <f>-BU13</f>
        <v>-47149</v>
      </c>
      <c r="BV15" s="8">
        <f t="shared" si="12"/>
        <v>3</v>
      </c>
      <c r="BW15" s="9" t="s">
        <v>969</v>
      </c>
      <c r="BX15" s="372">
        <v>982000</v>
      </c>
      <c r="BY15" s="816"/>
      <c r="BZ15" s="3">
        <f t="shared" si="13"/>
        <v>3</v>
      </c>
      <c r="CA15" s="1242" t="s">
        <v>1141</v>
      </c>
      <c r="CB15" s="1242"/>
      <c r="CC15" s="725">
        <f>SUM(CC13:CC14)</f>
        <v>-1715096.8099999968</v>
      </c>
      <c r="CD15" s="8">
        <f t="shared" si="14"/>
        <v>3</v>
      </c>
      <c r="CE15" s="9" t="s">
        <v>1250</v>
      </c>
      <c r="CF15" s="148">
        <f>SUM(CF13:CF14)</f>
        <v>4256047.1391807739</v>
      </c>
      <c r="CG15" s="148">
        <f>SUM(CG13:CG14)</f>
        <v>4447550.9718322996</v>
      </c>
      <c r="CH15" s="148">
        <f>SUM(CH13:CH14)</f>
        <v>191503.83265152527</v>
      </c>
      <c r="CI15" s="8">
        <f>CI14+1</f>
        <v>3</v>
      </c>
      <c r="CJ15" s="9" t="s">
        <v>1250</v>
      </c>
      <c r="CK15" s="148">
        <f>SUM(CK13:CK14)</f>
        <v>3748583.9096513242</v>
      </c>
      <c r="CL15" s="148">
        <f>SUM(CL13:CL14)</f>
        <v>5594712.966</v>
      </c>
      <c r="CM15" s="148">
        <f>SUM(CM13:CM14)</f>
        <v>1846129.0563486759</v>
      </c>
      <c r="CN15" s="8">
        <v>3</v>
      </c>
      <c r="CO15" s="9" t="s">
        <v>1273</v>
      </c>
      <c r="CP15" s="819">
        <v>18813086</v>
      </c>
      <c r="CQ15" s="819">
        <v>19286741</v>
      </c>
      <c r="CR15" s="724">
        <f t="shared" si="15"/>
        <v>473655</v>
      </c>
      <c r="CS15" s="8">
        <f t="shared" si="16"/>
        <v>3</v>
      </c>
      <c r="CT15" s="339" t="s">
        <v>20</v>
      </c>
      <c r="CU15" s="66">
        <v>2.9700000000000001E-2</v>
      </c>
      <c r="CV15" s="550">
        <f>+CV14*CU15</f>
        <v>160342.95848842259</v>
      </c>
      <c r="CX15" s="8">
        <v>3</v>
      </c>
      <c r="CY15" s="9" t="s">
        <v>45</v>
      </c>
      <c r="CZ15" s="9"/>
      <c r="DA15" s="132"/>
      <c r="DB15" s="147">
        <v>9705789.6816000007</v>
      </c>
    </row>
    <row r="16" spans="1:111" s="1310" customFormat="1" ht="14.25" thickTop="1" thickBot="1">
      <c r="A16" s="3">
        <f t="shared" si="0"/>
        <v>5</v>
      </c>
      <c r="B16" s="143">
        <v>40210</v>
      </c>
      <c r="C16" s="144">
        <v>1895525.9080000001</v>
      </c>
      <c r="D16" s="145">
        <v>1986792.9130964398</v>
      </c>
      <c r="E16" s="36">
        <f t="shared" si="17"/>
        <v>91267.005096439738</v>
      </c>
      <c r="F16" s="36">
        <f t="shared" si="18"/>
        <v>85061</v>
      </c>
      <c r="G16" s="1242"/>
      <c r="H16" s="3">
        <f t="shared" si="1"/>
        <v>4</v>
      </c>
      <c r="I16" s="525" t="s">
        <v>1201</v>
      </c>
      <c r="J16" s="1242"/>
      <c r="K16" s="745">
        <v>-4974.1800000000021</v>
      </c>
      <c r="L16" s="806"/>
      <c r="M16" s="8">
        <f t="shared" si="2"/>
        <v>4</v>
      </c>
      <c r="N16" s="360" t="s">
        <v>831</v>
      </c>
      <c r="O16" s="343"/>
      <c r="P16" s="348"/>
      <c r="Q16" s="348">
        <v>11261428.140000001</v>
      </c>
      <c r="R16" s="8">
        <f t="shared" si="3"/>
        <v>4</v>
      </c>
      <c r="S16" s="9" t="s">
        <v>380</v>
      </c>
      <c r="T16" s="1242"/>
      <c r="U16" s="724">
        <f>+U15</f>
        <v>-65733602.198214993</v>
      </c>
      <c r="V16" s="8">
        <f t="shared" si="4"/>
        <v>4</v>
      </c>
      <c r="W16" s="249"/>
      <c r="X16" s="249"/>
      <c r="Y16" s="249"/>
      <c r="Z16" s="57">
        <f t="shared" si="5"/>
        <v>4</v>
      </c>
      <c r="AA16" s="57" t="s">
        <v>529</v>
      </c>
      <c r="AB16" s="57"/>
      <c r="AC16" s="149"/>
      <c r="AD16" s="128"/>
      <c r="AE16" s="8">
        <f t="shared" si="6"/>
        <v>4</v>
      </c>
      <c r="AF16" s="9" t="s">
        <v>497</v>
      </c>
      <c r="AG16" s="802">
        <f>SUM(AG13:AG14)</f>
        <v>0</v>
      </c>
      <c r="AH16" s="802">
        <f>SUM(AH14:AH15)</f>
        <v>-233768.72008898749</v>
      </c>
      <c r="AI16" s="802">
        <f>SUM(AI14:AI15)</f>
        <v>-233768.72008898749</v>
      </c>
      <c r="AJ16" s="8">
        <v>4</v>
      </c>
      <c r="AK16" s="733"/>
      <c r="AL16" s="745"/>
      <c r="AM16" s="745"/>
      <c r="AN16" s="745"/>
      <c r="AO16" s="8">
        <f t="shared" si="7"/>
        <v>4</v>
      </c>
      <c r="AP16" s="522">
        <v>2009</v>
      </c>
      <c r="AQ16" s="811">
        <v>10727813.25</v>
      </c>
      <c r="AR16" s="810">
        <v>2093755522.6100001</v>
      </c>
      <c r="AS16" s="810">
        <v>64642019.060000002</v>
      </c>
      <c r="AT16" s="810">
        <v>7215398.1699999897</v>
      </c>
      <c r="AU16" s="810">
        <v>360828.64</v>
      </c>
      <c r="AV16" s="810">
        <f>AR16-AS16-AT16-AU16</f>
        <v>2021537276.74</v>
      </c>
      <c r="AW16" s="521">
        <f>ROUND(AQ16/AV16,6)</f>
        <v>5.3070000000000001E-3</v>
      </c>
      <c r="AX16" s="8">
        <f t="shared" si="8"/>
        <v>4</v>
      </c>
      <c r="AY16" s="269" t="s">
        <v>30</v>
      </c>
      <c r="AZ16" s="128">
        <v>210121</v>
      </c>
      <c r="BA16" s="128">
        <v>184354.71548012106</v>
      </c>
      <c r="BB16" s="128">
        <f t="shared" si="9"/>
        <v>-25766.284519878944</v>
      </c>
      <c r="BC16" s="8">
        <f t="shared" si="10"/>
        <v>4</v>
      </c>
      <c r="BD16" s="9"/>
      <c r="BE16" s="57"/>
      <c r="BF16" s="57"/>
      <c r="BG16" s="57"/>
      <c r="BH16" s="57"/>
      <c r="BI16" s="8">
        <f t="shared" si="11"/>
        <v>4</v>
      </c>
      <c r="BJ16" s="1242"/>
      <c r="BK16" s="1242"/>
      <c r="BL16" s="1242"/>
      <c r="BM16" s="1068">
        <v>4</v>
      </c>
      <c r="BN16" s="1068"/>
      <c r="BO16" s="745"/>
      <c r="BP16" s="745"/>
      <c r="BQ16" s="745"/>
      <c r="BR16" s="3"/>
      <c r="BS16" s="1242"/>
      <c r="BT16" s="1242"/>
      <c r="BU16" s="1242"/>
      <c r="BV16" s="8">
        <f t="shared" si="12"/>
        <v>4</v>
      </c>
      <c r="BW16" s="9"/>
      <c r="BX16" s="813"/>
      <c r="BY16" s="351"/>
      <c r="BZ16" s="3">
        <f t="shared" si="13"/>
        <v>4</v>
      </c>
      <c r="CA16" s="1242"/>
      <c r="CB16" s="1242"/>
      <c r="CC16" s="1242"/>
      <c r="CD16" s="8">
        <f t="shared" si="14"/>
        <v>4</v>
      </c>
      <c r="CE16" s="9"/>
      <c r="CF16" s="1242"/>
      <c r="CG16" s="1242"/>
      <c r="CH16" s="128"/>
      <c r="CI16" s="8">
        <f>CI15+1</f>
        <v>4</v>
      </c>
      <c r="CJ16" s="9"/>
      <c r="CK16" s="1242"/>
      <c r="CL16" s="1242"/>
      <c r="CM16" s="128"/>
      <c r="CN16" s="8">
        <v>4</v>
      </c>
      <c r="CO16" s="9" t="s">
        <v>30</v>
      </c>
      <c r="CP16" s="819">
        <v>3042579</v>
      </c>
      <c r="CQ16" s="819">
        <v>3128925</v>
      </c>
      <c r="CR16" s="724">
        <f t="shared" si="15"/>
        <v>86346</v>
      </c>
      <c r="CS16" s="8">
        <f t="shared" si="16"/>
        <v>4</v>
      </c>
      <c r="CT16" s="270" t="s">
        <v>388</v>
      </c>
      <c r="CU16" s="343"/>
      <c r="CV16" s="343"/>
      <c r="CW16" s="347">
        <f>SUM(CV14:CV15)</f>
        <v>5559095.7695464222</v>
      </c>
      <c r="CX16" s="8">
        <v>4</v>
      </c>
      <c r="CY16" s="1242" t="s">
        <v>862</v>
      </c>
      <c r="CZ16" s="1242"/>
      <c r="DA16" s="132"/>
      <c r="DB16" s="151">
        <f>SUM(DB14:DB15)</f>
        <v>22345509.182400003</v>
      </c>
    </row>
    <row r="17" spans="1:106" s="1310" customFormat="1" ht="14.25" thickTop="1">
      <c r="A17" s="3">
        <f t="shared" si="0"/>
        <v>6</v>
      </c>
      <c r="B17" s="143">
        <v>40238</v>
      </c>
      <c r="C17" s="144">
        <v>2022381.922</v>
      </c>
      <c r="D17" s="145">
        <v>2041216.6270947068</v>
      </c>
      <c r="E17" s="36">
        <f t="shared" si="17"/>
        <v>18834.705094706733</v>
      </c>
      <c r="F17" s="36">
        <f t="shared" si="18"/>
        <v>17554</v>
      </c>
      <c r="G17" s="1242"/>
      <c r="H17" s="3">
        <f t="shared" si="1"/>
        <v>5</v>
      </c>
      <c r="I17" s="525" t="s">
        <v>1259</v>
      </c>
      <c r="J17" s="1242"/>
      <c r="K17" s="745">
        <v>16481251.350494359</v>
      </c>
      <c r="L17" s="806"/>
      <c r="M17" s="8">
        <f t="shared" si="2"/>
        <v>5</v>
      </c>
      <c r="N17" s="381" t="s">
        <v>772</v>
      </c>
      <c r="O17" s="343"/>
      <c r="P17" s="348"/>
      <c r="Q17" s="348">
        <v>-78576305.159999996</v>
      </c>
      <c r="R17" s="8">
        <f t="shared" si="3"/>
        <v>5</v>
      </c>
      <c r="S17" s="9"/>
      <c r="T17" s="9"/>
      <c r="U17" s="137"/>
      <c r="V17" s="8">
        <f t="shared" si="4"/>
        <v>5</v>
      </c>
      <c r="W17" s="72" t="s">
        <v>16</v>
      </c>
      <c r="X17" s="1374">
        <f>'JHS-22'!H13+'JHS-22'!H14</f>
        <v>3.1E-2</v>
      </c>
      <c r="Y17" s="15" t="s">
        <v>939</v>
      </c>
      <c r="Z17" s="10">
        <f t="shared" si="5"/>
        <v>5</v>
      </c>
      <c r="AA17" s="97" t="s">
        <v>530</v>
      </c>
      <c r="AB17" s="5">
        <v>77824.864000000001</v>
      </c>
      <c r="AC17" s="149">
        <v>0</v>
      </c>
      <c r="AD17" s="128">
        <f t="shared" ref="AD17:AD22" si="19">AC17-AB17</f>
        <v>-77824.864000000001</v>
      </c>
      <c r="AE17" s="8">
        <f t="shared" si="6"/>
        <v>5</v>
      </c>
      <c r="AF17" s="9"/>
      <c r="AG17" s="231"/>
      <c r="AH17" s="231"/>
      <c r="AI17" s="231"/>
      <c r="AJ17" s="8">
        <v>5</v>
      </c>
      <c r="AK17" s="732" t="s">
        <v>660</v>
      </c>
      <c r="AL17" s="745"/>
      <c r="AM17" s="745"/>
      <c r="AN17" s="745">
        <f>AN15</f>
        <v>1116335.9198201378</v>
      </c>
      <c r="AO17" s="8">
        <f t="shared" si="7"/>
        <v>5</v>
      </c>
      <c r="AP17" s="45" t="s">
        <v>696</v>
      </c>
      <c r="AQ17" s="375"/>
      <c r="AR17" s="375"/>
      <c r="AS17" s="375"/>
      <c r="AT17" s="375"/>
      <c r="AU17" s="375"/>
      <c r="AV17" s="1377"/>
      <c r="AW17" s="520">
        <f>ROUND(IF(ISERROR(AVERAGE(AW14,AW15,AW16)),0,AVERAGE(AW14,AW15,AW16)),6)</f>
        <v>4.444E-3</v>
      </c>
      <c r="AX17" s="8">
        <f t="shared" si="8"/>
        <v>5</v>
      </c>
      <c r="AY17" s="269" t="s">
        <v>36</v>
      </c>
      <c r="AZ17" s="128">
        <v>1505513</v>
      </c>
      <c r="BA17" s="128">
        <v>1332437.4868006757</v>
      </c>
      <c r="BB17" s="128">
        <f t="shared" si="9"/>
        <v>-173075.51319932425</v>
      </c>
      <c r="BC17" s="8">
        <f t="shared" si="10"/>
        <v>5</v>
      </c>
      <c r="BD17" s="9" t="s">
        <v>13</v>
      </c>
      <c r="BE17" s="130"/>
      <c r="BF17" s="10"/>
      <c r="BG17" s="97">
        <f>FIT</f>
        <v>0.35</v>
      </c>
      <c r="BH17" s="1103">
        <f>-ROUND(+BH15*BG17,0)</f>
        <v>-1634841</v>
      </c>
      <c r="BI17" s="8">
        <f t="shared" si="11"/>
        <v>5</v>
      </c>
      <c r="BJ17" s="92" t="s">
        <v>14</v>
      </c>
      <c r="BK17" s="1242"/>
      <c r="BL17" s="6">
        <f>BL18</f>
        <v>4157945</v>
      </c>
      <c r="BM17" s="1068">
        <v>5</v>
      </c>
      <c r="BN17" s="1068" t="s">
        <v>23</v>
      </c>
      <c r="BO17" s="745"/>
      <c r="BP17" s="808">
        <v>0.35</v>
      </c>
      <c r="BQ17" s="745">
        <v>18083.571958333585</v>
      </c>
      <c r="BR17" s="3"/>
      <c r="BS17" s="112"/>
      <c r="BT17" s="112"/>
      <c r="BU17" s="112"/>
      <c r="BV17" s="8">
        <f t="shared" si="12"/>
        <v>5</v>
      </c>
      <c r="BW17" s="373" t="s">
        <v>966</v>
      </c>
      <c r="BX17" s="454">
        <f>BX15/2</f>
        <v>491000</v>
      </c>
      <c r="BY17" s="367"/>
      <c r="BZ17" s="3">
        <f t="shared" si="13"/>
        <v>5</v>
      </c>
      <c r="CA17" s="46" t="s">
        <v>1142</v>
      </c>
      <c r="CB17" s="1242"/>
      <c r="CC17" s="128">
        <v>-76216.95</v>
      </c>
      <c r="CD17" s="8">
        <f t="shared" si="14"/>
        <v>5</v>
      </c>
      <c r="CE17" s="1242" t="s">
        <v>782</v>
      </c>
      <c r="CF17" s="1242"/>
      <c r="CG17" s="1242"/>
      <c r="CH17" s="128">
        <f>CH15</f>
        <v>191503.83265152527</v>
      </c>
      <c r="CI17" s="8">
        <f>CI16+1</f>
        <v>5</v>
      </c>
      <c r="CJ17" s="9" t="s">
        <v>23</v>
      </c>
      <c r="CK17" s="155">
        <v>0.35</v>
      </c>
      <c r="CL17" s="10"/>
      <c r="CM17" s="55">
        <f>-CK17*CM15</f>
        <v>-646145.16972203646</v>
      </c>
      <c r="CN17" s="8">
        <v>5</v>
      </c>
      <c r="CO17" s="9" t="s">
        <v>36</v>
      </c>
      <c r="CP17" s="819">
        <v>21799940</v>
      </c>
      <c r="CQ17" s="819">
        <v>22323872</v>
      </c>
      <c r="CR17" s="724">
        <f t="shared" si="15"/>
        <v>523932</v>
      </c>
      <c r="CS17" s="8">
        <f t="shared" si="16"/>
        <v>5</v>
      </c>
      <c r="CT17" s="312"/>
      <c r="CU17" s="343"/>
      <c r="CV17" s="343"/>
      <c r="CW17" s="371"/>
      <c r="CX17" s="8">
        <v>5</v>
      </c>
      <c r="CY17" s="1242"/>
      <c r="CZ17" s="1242"/>
      <c r="DA17" s="132"/>
      <c r="DB17" s="128"/>
    </row>
    <row r="18" spans="1:106" s="1310" customFormat="1" ht="14.25" thickBot="1">
      <c r="A18" s="3">
        <f t="shared" si="0"/>
        <v>7</v>
      </c>
      <c r="B18" s="143">
        <v>40269</v>
      </c>
      <c r="C18" s="144">
        <v>1844813.61</v>
      </c>
      <c r="D18" s="145">
        <v>1833220.608777056</v>
      </c>
      <c r="E18" s="36">
        <f t="shared" si="17"/>
        <v>-11593.00122294412</v>
      </c>
      <c r="F18" s="36">
        <f t="shared" si="18"/>
        <v>-10805</v>
      </c>
      <c r="G18" s="1242"/>
      <c r="H18" s="3">
        <f t="shared" si="1"/>
        <v>6</v>
      </c>
      <c r="I18" s="525" t="s">
        <v>289</v>
      </c>
      <c r="J18" s="1242"/>
      <c r="K18" s="745">
        <v>-1936015</v>
      </c>
      <c r="L18" s="806"/>
      <c r="M18" s="8">
        <f t="shared" si="2"/>
        <v>6</v>
      </c>
      <c r="N18" s="361" t="s">
        <v>1261</v>
      </c>
      <c r="O18" s="343"/>
      <c r="P18" s="348"/>
      <c r="Q18" s="348">
        <v>3243189.68</v>
      </c>
      <c r="R18" s="8">
        <f t="shared" si="3"/>
        <v>6</v>
      </c>
      <c r="S18" s="1242" t="s">
        <v>26</v>
      </c>
      <c r="T18" s="1242"/>
      <c r="U18" s="724">
        <v>125546463.030975</v>
      </c>
      <c r="V18" s="8">
        <f t="shared" si="4"/>
        <v>6</v>
      </c>
      <c r="W18" s="72" t="s">
        <v>538</v>
      </c>
      <c r="Y18" s="1183">
        <f>+X15*X17</f>
        <v>150450701.23699999</v>
      </c>
      <c r="Z18" s="10">
        <f t="shared" si="5"/>
        <v>6</v>
      </c>
      <c r="AA18" s="10" t="s">
        <v>531</v>
      </c>
      <c r="AB18" s="99">
        <v>112533.50401471999</v>
      </c>
      <c r="AC18" s="150">
        <v>0</v>
      </c>
      <c r="AD18" s="128">
        <f t="shared" si="19"/>
        <v>-112533.50401471999</v>
      </c>
      <c r="AE18" s="8">
        <f t="shared" si="6"/>
        <v>6</v>
      </c>
      <c r="AF18" s="1068" t="s">
        <v>1220</v>
      </c>
      <c r="AG18" s="231"/>
      <c r="AH18" s="231"/>
      <c r="AI18" s="231"/>
      <c r="AJ18" s="8">
        <v>6</v>
      </c>
      <c r="AK18" s="732" t="s">
        <v>23</v>
      </c>
      <c r="AL18" s="1068"/>
      <c r="AM18" s="244">
        <v>0.35</v>
      </c>
      <c r="AN18" s="800">
        <f>ROUND(-AN17*AM18,0)</f>
        <v>-390718</v>
      </c>
      <c r="AO18" s="8">
        <f t="shared" si="7"/>
        <v>6</v>
      </c>
      <c r="AP18" s="1242"/>
      <c r="AQ18" s="1242"/>
      <c r="AR18" s="1242"/>
      <c r="AS18" s="1242"/>
      <c r="AT18" s="1242"/>
      <c r="AU18" s="1242"/>
      <c r="AV18" s="1242"/>
      <c r="AW18" s="1242"/>
      <c r="AX18" s="8">
        <f t="shared" si="8"/>
        <v>6</v>
      </c>
      <c r="AY18" s="269" t="s">
        <v>42</v>
      </c>
      <c r="AZ18" s="128">
        <v>893833</v>
      </c>
      <c r="BA18" s="128">
        <v>791673.86262795061</v>
      </c>
      <c r="BB18" s="128">
        <f t="shared" si="9"/>
        <v>-102159.13737204939</v>
      </c>
      <c r="BC18" s="8">
        <f t="shared" si="10"/>
        <v>6</v>
      </c>
      <c r="BD18" s="9"/>
      <c r="BE18" s="130"/>
      <c r="BF18" s="10"/>
      <c r="BG18" s="10"/>
      <c r="BH18" s="99"/>
      <c r="BI18" s="8">
        <f t="shared" si="11"/>
        <v>6</v>
      </c>
      <c r="BJ18" s="9" t="s">
        <v>359</v>
      </c>
      <c r="BK18" s="1242"/>
      <c r="BL18" s="5">
        <v>4157945</v>
      </c>
      <c r="BM18" s="1068">
        <v>6</v>
      </c>
      <c r="BN18" s="1068"/>
      <c r="BO18" s="745"/>
      <c r="BP18" s="745"/>
      <c r="BQ18" s="745"/>
      <c r="BR18" s="3"/>
      <c r="BS18" s="1242"/>
      <c r="BT18" s="1242"/>
      <c r="BU18" s="1242"/>
      <c r="BV18" s="8">
        <f t="shared" si="12"/>
        <v>6</v>
      </c>
      <c r="BW18" s="369" t="s">
        <v>968</v>
      </c>
      <c r="BX18" s="455">
        <v>641575</v>
      </c>
      <c r="BY18" s="367"/>
      <c r="BZ18" s="3">
        <f t="shared" si="13"/>
        <v>6</v>
      </c>
      <c r="CA18" s="46" t="s">
        <v>1138</v>
      </c>
      <c r="CB18" s="1242"/>
      <c r="CC18" s="147">
        <v>290235.91000000003</v>
      </c>
      <c r="CD18" s="8">
        <f t="shared" si="14"/>
        <v>6</v>
      </c>
      <c r="CE18" s="1242"/>
      <c r="CF18" s="1242"/>
      <c r="CG18" s="1242"/>
      <c r="CH18" s="132"/>
      <c r="CI18" s="8">
        <f>CI17+1</f>
        <v>6</v>
      </c>
      <c r="CJ18" s="9" t="s">
        <v>369</v>
      </c>
      <c r="CK18" s="1242"/>
      <c r="CL18" s="1242"/>
      <c r="CM18" s="802">
        <f>-CM15-CM17</f>
        <v>-1199983.8866266394</v>
      </c>
      <c r="CN18" s="8">
        <v>6</v>
      </c>
      <c r="CO18" s="9" t="s">
        <v>42</v>
      </c>
      <c r="CP18" s="819">
        <v>12942747</v>
      </c>
      <c r="CQ18" s="819">
        <v>13248616</v>
      </c>
      <c r="CR18" s="724">
        <f t="shared" si="15"/>
        <v>305869</v>
      </c>
      <c r="CS18" s="8">
        <f t="shared" si="16"/>
        <v>6</v>
      </c>
      <c r="CT18" s="696" t="s">
        <v>175</v>
      </c>
      <c r="CU18" s="339"/>
      <c r="CX18" s="8">
        <v>6</v>
      </c>
      <c r="CY18" s="108" t="s">
        <v>865</v>
      </c>
      <c r="CZ18" s="156">
        <v>0.60560000000000003</v>
      </c>
      <c r="DA18" s="1242"/>
      <c r="DB18" s="128">
        <f>ROUND(+CZ18*DB16,0)</f>
        <v>13532440</v>
      </c>
    </row>
    <row r="19" spans="1:106" s="1310" customFormat="1" ht="15" customHeight="1" thickTop="1" thickBot="1">
      <c r="A19" s="3">
        <f t="shared" si="0"/>
        <v>8</v>
      </c>
      <c r="B19" s="143">
        <v>40299</v>
      </c>
      <c r="C19" s="144">
        <v>1764805.203</v>
      </c>
      <c r="D19" s="145">
        <v>1748090.29492157</v>
      </c>
      <c r="E19" s="36">
        <f t="shared" si="17"/>
        <v>-16714.908078429988</v>
      </c>
      <c r="F19" s="36">
        <f t="shared" si="18"/>
        <v>-15578</v>
      </c>
      <c r="G19" s="1242"/>
      <c r="H19" s="3">
        <f t="shared" si="1"/>
        <v>7</v>
      </c>
      <c r="I19" s="525" t="s">
        <v>971</v>
      </c>
      <c r="J19" s="1242"/>
      <c r="K19" s="745">
        <v>6253914.3118858868</v>
      </c>
      <c r="L19" s="806"/>
      <c r="M19" s="8">
        <f t="shared" si="2"/>
        <v>7</v>
      </c>
      <c r="N19" s="361" t="s">
        <v>1264</v>
      </c>
      <c r="O19" s="343"/>
      <c r="P19" s="348"/>
      <c r="Q19" s="348">
        <v>394978.82</v>
      </c>
      <c r="R19" s="8">
        <f t="shared" si="3"/>
        <v>7</v>
      </c>
      <c r="S19" s="1242" t="s">
        <v>28</v>
      </c>
      <c r="T19" s="1242"/>
      <c r="U19" s="724">
        <v>-15514213.632760001</v>
      </c>
      <c r="V19" s="8">
        <f t="shared" si="4"/>
        <v>7</v>
      </c>
      <c r="W19" s="72"/>
      <c r="X19" s="74"/>
      <c r="Y19" s="1323"/>
      <c r="Z19" s="110">
        <f t="shared" si="5"/>
        <v>7</v>
      </c>
      <c r="AA19" s="110" t="s">
        <v>532</v>
      </c>
      <c r="AB19" s="761">
        <v>34160.190924319999</v>
      </c>
      <c r="AC19" s="149">
        <v>0</v>
      </c>
      <c r="AD19" s="128">
        <f t="shared" si="19"/>
        <v>-34160.190924319999</v>
      </c>
      <c r="AE19" s="8">
        <f t="shared" si="6"/>
        <v>7</v>
      </c>
      <c r="AF19" s="9" t="s">
        <v>544</v>
      </c>
      <c r="AG19" s="810">
        <v>10971542.557086002</v>
      </c>
      <c r="AH19" s="810">
        <v>9912384.5170960724</v>
      </c>
      <c r="AI19" s="810">
        <f>AH19-AG19</f>
        <v>-1059158.0399899296</v>
      </c>
      <c r="AJ19" s="8">
        <v>7</v>
      </c>
      <c r="AK19" s="732"/>
      <c r="AL19" s="1068"/>
      <c r="AM19" s="1068"/>
      <c r="AN19" s="745"/>
      <c r="AO19" s="8">
        <f t="shared" si="7"/>
        <v>7</v>
      </c>
      <c r="AP19" s="232" t="s">
        <v>697</v>
      </c>
      <c r="AQ19" s="129"/>
      <c r="AR19" s="47">
        <f>'JHS-19'!AN21</f>
        <v>2274653391.2599902</v>
      </c>
      <c r="AS19" s="47">
        <f>'JHS-19'!AN19</f>
        <v>201262557</v>
      </c>
      <c r="AT19" s="47">
        <f>'JHS-19'!AN20</f>
        <v>30706332.759999901</v>
      </c>
      <c r="AU19" s="47">
        <f>'JHS-19'!AN18</f>
        <v>350182.38</v>
      </c>
      <c r="AV19" s="47">
        <f>AR19-AS19-AT19-AU19</f>
        <v>2042334319.1199901</v>
      </c>
      <c r="AW19" s="374"/>
      <c r="AX19" s="8">
        <f t="shared" si="8"/>
        <v>7</v>
      </c>
      <c r="AY19" s="269" t="s">
        <v>44</v>
      </c>
      <c r="AZ19" s="128">
        <v>79167</v>
      </c>
      <c r="BA19" s="128">
        <v>69617.893664143165</v>
      </c>
      <c r="BB19" s="128">
        <f t="shared" si="9"/>
        <v>-9549.1063358568354</v>
      </c>
      <c r="BC19" s="8">
        <f t="shared" si="10"/>
        <v>7</v>
      </c>
      <c r="BD19" s="9" t="s">
        <v>25</v>
      </c>
      <c r="BE19" s="1242"/>
      <c r="BF19" s="110"/>
      <c r="BG19" s="110"/>
      <c r="BH19" s="1110">
        <f>-BH15-BH17</f>
        <v>-3036132.0799999982</v>
      </c>
      <c r="BI19" s="8">
        <f t="shared" si="11"/>
        <v>7</v>
      </c>
      <c r="BJ19" s="9" t="s">
        <v>29</v>
      </c>
      <c r="BK19" s="1242"/>
      <c r="BL19" s="6">
        <f>(BL17-BL18)</f>
        <v>0</v>
      </c>
      <c r="BM19" s="1068">
        <v>7</v>
      </c>
      <c r="BN19" s="1068" t="s">
        <v>369</v>
      </c>
      <c r="BO19" s="745"/>
      <c r="BP19" s="745"/>
      <c r="BQ19" s="802">
        <v>33583.776494048085</v>
      </c>
      <c r="BR19" s="3"/>
      <c r="BS19" s="1242"/>
      <c r="BT19" s="1242"/>
      <c r="BU19" s="1242"/>
      <c r="BV19" s="8">
        <f t="shared" si="12"/>
        <v>7</v>
      </c>
      <c r="BW19" s="9" t="s">
        <v>39</v>
      </c>
      <c r="BX19" s="745">
        <f>+BX17-BX18</f>
        <v>-150575</v>
      </c>
      <c r="BY19" s="347">
        <f>+BX19</f>
        <v>-150575</v>
      </c>
      <c r="BZ19" s="3">
        <f t="shared" si="13"/>
        <v>7</v>
      </c>
      <c r="CA19" s="1242" t="s">
        <v>1143</v>
      </c>
      <c r="CB19" s="1242"/>
      <c r="CC19" s="128">
        <f>SUM(CC17:CC18)</f>
        <v>214018.96000000002</v>
      </c>
      <c r="CD19" s="8">
        <f t="shared" si="14"/>
        <v>7</v>
      </c>
      <c r="CE19" s="9" t="s">
        <v>23</v>
      </c>
      <c r="CF19" s="155">
        <v>0.35</v>
      </c>
      <c r="CG19" s="10"/>
      <c r="CH19" s="55">
        <f>-CF19*CH17</f>
        <v>-67026.341428033847</v>
      </c>
      <c r="CI19" s="8"/>
      <c r="CJ19" s="1242"/>
      <c r="CK19" s="1242"/>
      <c r="CL19" s="1242"/>
      <c r="CM19" s="1242"/>
      <c r="CN19" s="8">
        <v>7</v>
      </c>
      <c r="CO19" s="9" t="s">
        <v>44</v>
      </c>
      <c r="CP19" s="819">
        <v>1146347</v>
      </c>
      <c r="CQ19" s="819">
        <v>1177753</v>
      </c>
      <c r="CR19" s="724">
        <f t="shared" si="15"/>
        <v>31406</v>
      </c>
      <c r="CS19" s="8">
        <f t="shared" si="16"/>
        <v>7</v>
      </c>
      <c r="CT19" s="269" t="s">
        <v>389</v>
      </c>
      <c r="CU19" s="343"/>
      <c r="CV19" s="378">
        <v>132721.89838600002</v>
      </c>
      <c r="CX19" s="8">
        <v>7</v>
      </c>
      <c r="CY19" s="698" t="s">
        <v>1230</v>
      </c>
      <c r="CZ19" s="9"/>
      <c r="DA19" s="155"/>
      <c r="DB19" s="128">
        <v>13515093</v>
      </c>
    </row>
    <row r="20" spans="1:106" s="1310" customFormat="1" ht="15" customHeight="1" thickTop="1" thickBot="1">
      <c r="A20" s="3">
        <f t="shared" si="0"/>
        <v>9</v>
      </c>
      <c r="B20" s="143">
        <v>40330</v>
      </c>
      <c r="C20" s="144">
        <v>1618462.3689999999</v>
      </c>
      <c r="D20" s="145">
        <v>1630729.6518040113</v>
      </c>
      <c r="E20" s="36">
        <f t="shared" si="17"/>
        <v>12267.282804011367</v>
      </c>
      <c r="F20" s="36">
        <f t="shared" si="18"/>
        <v>11433</v>
      </c>
      <c r="G20" s="1242"/>
      <c r="H20" s="3">
        <f t="shared" si="1"/>
        <v>8</v>
      </c>
      <c r="I20" s="525" t="s">
        <v>739</v>
      </c>
      <c r="J20" s="762"/>
      <c r="K20" s="745">
        <f>-32253105.2348128-2890382</f>
        <v>-35143487.234812796</v>
      </c>
      <c r="L20" s="806"/>
      <c r="M20" s="8">
        <f t="shared" si="2"/>
        <v>8</v>
      </c>
      <c r="N20" s="1242" t="s">
        <v>690</v>
      </c>
      <c r="O20" s="1242"/>
      <c r="P20" s="1242"/>
      <c r="Q20" s="348">
        <v>-10990696.029999999</v>
      </c>
      <c r="R20" s="8">
        <f t="shared" si="3"/>
        <v>8</v>
      </c>
      <c r="S20" s="1242" t="s">
        <v>56</v>
      </c>
      <c r="T20" s="1242"/>
      <c r="U20" s="96">
        <v>0</v>
      </c>
      <c r="V20" s="8">
        <f t="shared" si="4"/>
        <v>8</v>
      </c>
      <c r="W20" s="249" t="s">
        <v>27</v>
      </c>
      <c r="Y20" s="6">
        <f>-Y18-X20</f>
        <v>-150450701.23699999</v>
      </c>
      <c r="Z20" s="1242">
        <f t="shared" si="5"/>
        <v>8</v>
      </c>
      <c r="AA20" s="1242" t="s">
        <v>678</v>
      </c>
      <c r="AB20" s="1242">
        <v>502917.27968988009</v>
      </c>
      <c r="AC20" s="149">
        <v>118832.65031754776</v>
      </c>
      <c r="AD20" s="128">
        <f t="shared" si="19"/>
        <v>-384084.62937233236</v>
      </c>
      <c r="AE20" s="8">
        <f t="shared" si="6"/>
        <v>8</v>
      </c>
      <c r="AF20" s="9"/>
      <c r="AG20" s="231"/>
      <c r="AH20" s="231"/>
      <c r="AI20" s="809" t="s">
        <v>939</v>
      </c>
      <c r="AJ20" s="8">
        <v>8</v>
      </c>
      <c r="AK20" s="732" t="s">
        <v>369</v>
      </c>
      <c r="AL20" s="1068"/>
      <c r="AM20" s="1068"/>
      <c r="AN20" s="761">
        <f>-AN17-AN18</f>
        <v>-725617.91982013779</v>
      </c>
      <c r="AO20" s="8">
        <f t="shared" si="7"/>
        <v>8</v>
      </c>
      <c r="AP20" s="1242"/>
      <c r="AQ20" s="128"/>
      <c r="AR20" s="376"/>
      <c r="AS20" s="128"/>
      <c r="AT20" s="128"/>
      <c r="AU20" s="128"/>
      <c r="AV20" s="128"/>
      <c r="AW20" s="376"/>
      <c r="AX20" s="8">
        <f t="shared" si="8"/>
        <v>8</v>
      </c>
      <c r="AY20" s="269" t="s">
        <v>345</v>
      </c>
      <c r="AZ20" s="128">
        <v>7752</v>
      </c>
      <c r="BA20" s="128">
        <v>6788.2550273687984</v>
      </c>
      <c r="BB20" s="128">
        <f t="shared" si="9"/>
        <v>-963.74497263120156</v>
      </c>
      <c r="BC20" s="8"/>
      <c r="BD20" s="1242"/>
      <c r="BE20" s="1242"/>
      <c r="BF20" s="1242"/>
      <c r="BG20" s="1242"/>
      <c r="BH20" s="1242"/>
      <c r="BI20" s="8">
        <f t="shared" si="11"/>
        <v>8</v>
      </c>
      <c r="BJ20" s="1242"/>
      <c r="BK20" s="110"/>
      <c r="BL20" s="230"/>
      <c r="BM20" s="1068"/>
      <c r="BN20" s="1068"/>
      <c r="BR20" s="3"/>
      <c r="BS20" s="1242"/>
      <c r="BT20" s="1242"/>
      <c r="BU20" s="1242"/>
      <c r="BV20" s="8">
        <f t="shared" si="12"/>
        <v>8</v>
      </c>
      <c r="BW20" s="9"/>
      <c r="BX20" s="151"/>
      <c r="BY20" s="812"/>
      <c r="BZ20" s="3">
        <f t="shared" si="13"/>
        <v>8</v>
      </c>
      <c r="CA20" s="1242"/>
      <c r="CB20" s="1242"/>
      <c r="CC20" s="153"/>
      <c r="CD20" s="8">
        <f t="shared" si="14"/>
        <v>8</v>
      </c>
      <c r="CE20" s="9" t="s">
        <v>369</v>
      </c>
      <c r="CF20" s="1242"/>
      <c r="CG20" s="1242"/>
      <c r="CH20" s="802">
        <f>-CH17-CH19</f>
        <v>-124477.49122349142</v>
      </c>
      <c r="CI20" s="8"/>
      <c r="CJ20" s="1242"/>
      <c r="CK20" s="1242"/>
      <c r="CL20" s="1242"/>
      <c r="CM20" s="1242"/>
      <c r="CN20" s="8">
        <v>8</v>
      </c>
      <c r="CO20" s="9" t="s">
        <v>345</v>
      </c>
      <c r="CP20" s="819">
        <v>112249</v>
      </c>
      <c r="CQ20" s="819">
        <v>115580</v>
      </c>
      <c r="CR20" s="724">
        <f t="shared" si="15"/>
        <v>3331</v>
      </c>
      <c r="CS20" s="8">
        <f t="shared" si="16"/>
        <v>8</v>
      </c>
      <c r="CT20" s="339" t="s">
        <v>20</v>
      </c>
      <c r="CU20" s="66">
        <v>0</v>
      </c>
      <c r="CV20" s="550">
        <f>+CV19*CU20</f>
        <v>0</v>
      </c>
      <c r="CX20" s="8">
        <v>8</v>
      </c>
      <c r="CY20" s="1242" t="s">
        <v>1250</v>
      </c>
      <c r="CZ20" s="1242"/>
      <c r="DA20" s="1242"/>
      <c r="DB20" s="153">
        <f>DB18-DB19</f>
        <v>17347</v>
      </c>
    </row>
    <row r="21" spans="1:106" s="1310" customFormat="1" ht="14.25" thickTop="1" thickBot="1">
      <c r="A21" s="3">
        <f t="shared" si="0"/>
        <v>10</v>
      </c>
      <c r="B21" s="143">
        <v>40360</v>
      </c>
      <c r="C21" s="144">
        <v>1688022.392</v>
      </c>
      <c r="D21" s="145">
        <v>1697903.9618338682</v>
      </c>
      <c r="E21" s="36">
        <f t="shared" si="17"/>
        <v>9881.5698338681832</v>
      </c>
      <c r="F21" s="36">
        <f t="shared" si="18"/>
        <v>9210</v>
      </c>
      <c r="G21" s="1242"/>
      <c r="H21" s="3">
        <f t="shared" si="1"/>
        <v>9</v>
      </c>
      <c r="I21" s="525" t="s">
        <v>374</v>
      </c>
      <c r="J21" s="164"/>
      <c r="K21" s="745">
        <v>1385859.8861668534</v>
      </c>
      <c r="L21" s="806"/>
      <c r="M21" s="8">
        <f t="shared" si="2"/>
        <v>9</v>
      </c>
      <c r="N21" s="1242" t="s">
        <v>691</v>
      </c>
      <c r="O21" s="1242"/>
      <c r="P21" s="1242"/>
      <c r="Q21" s="348">
        <v>10504775.029999999</v>
      </c>
      <c r="R21" s="8">
        <f t="shared" si="3"/>
        <v>9</v>
      </c>
      <c r="S21" s="1242" t="s">
        <v>41</v>
      </c>
      <c r="T21" s="1242"/>
      <c r="U21" s="724">
        <f>SUM(U16:U20)</f>
        <v>44298647.200000003</v>
      </c>
      <c r="V21" s="8">
        <f t="shared" si="4"/>
        <v>9</v>
      </c>
      <c r="W21" s="249"/>
      <c r="X21" s="429"/>
      <c r="Y21" s="54" t="s">
        <v>939</v>
      </c>
      <c r="Z21" s="1242">
        <f t="shared" si="5"/>
        <v>9</v>
      </c>
      <c r="AA21" s="1242" t="s">
        <v>533</v>
      </c>
      <c r="AB21" s="134">
        <v>198811.68816704</v>
      </c>
      <c r="AC21" s="149">
        <v>0</v>
      </c>
      <c r="AD21" s="128">
        <f t="shared" si="19"/>
        <v>-198811.68816704</v>
      </c>
      <c r="AE21" s="8">
        <f t="shared" si="6"/>
        <v>9</v>
      </c>
      <c r="AF21" s="9" t="s">
        <v>39</v>
      </c>
      <c r="AG21" s="231"/>
      <c r="AH21" s="231"/>
      <c r="AI21" s="745">
        <f>AI19</f>
        <v>-1059158.0399899296</v>
      </c>
      <c r="AO21" s="8">
        <f t="shared" si="7"/>
        <v>9</v>
      </c>
      <c r="AP21" s="1242" t="s">
        <v>364</v>
      </c>
      <c r="AQ21" s="128"/>
      <c r="AR21" s="128"/>
      <c r="AS21" s="128"/>
      <c r="AT21" s="128"/>
      <c r="AU21" s="128"/>
      <c r="AV21" s="520">
        <f>AW17-'JHS-20'!BR30</f>
        <v>4.444E-3</v>
      </c>
      <c r="AW21" s="128"/>
      <c r="AX21" s="8">
        <f t="shared" si="8"/>
        <v>9</v>
      </c>
      <c r="AY21" s="269" t="s">
        <v>861</v>
      </c>
      <c r="AZ21" s="128">
        <v>1532695</v>
      </c>
      <c r="BA21" s="128">
        <v>1343052.7051893426</v>
      </c>
      <c r="BB21" s="128">
        <f t="shared" si="9"/>
        <v>-189642.29481065739</v>
      </c>
      <c r="BC21" s="269"/>
      <c r="BD21" s="1242"/>
      <c r="BE21" s="1242"/>
      <c r="BF21" s="1242"/>
      <c r="BG21" s="1242"/>
      <c r="BH21" s="134"/>
      <c r="BI21" s="8">
        <f t="shared" si="11"/>
        <v>9</v>
      </c>
      <c r="BJ21" s="9" t="s">
        <v>1250</v>
      </c>
      <c r="BK21" s="110"/>
      <c r="BL21" s="134">
        <f>BL19+BL15</f>
        <v>309198.42278499901</v>
      </c>
      <c r="BM21" s="1068"/>
      <c r="BN21" s="1068"/>
      <c r="BR21" s="1242"/>
      <c r="BS21" s="1242"/>
      <c r="BT21" s="1242"/>
      <c r="BU21" s="1242"/>
      <c r="BV21" s="8">
        <f t="shared" si="12"/>
        <v>9</v>
      </c>
      <c r="BW21" s="9" t="s">
        <v>970</v>
      </c>
      <c r="BX21" s="337">
        <v>329000</v>
      </c>
      <c r="BY21" s="129"/>
      <c r="BZ21" s="3">
        <f t="shared" si="13"/>
        <v>9</v>
      </c>
      <c r="CA21" s="1242" t="s">
        <v>1144</v>
      </c>
      <c r="CB21" s="128"/>
      <c r="CC21" s="128">
        <f>CC15+CC19</f>
        <v>-1501077.8499999968</v>
      </c>
      <c r="CD21" s="8"/>
      <c r="CE21" s="9"/>
      <c r="CF21" s="1242"/>
      <c r="CG21" s="1242"/>
      <c r="CH21" s="1242"/>
      <c r="CI21" s="8"/>
      <c r="CJ21" s="9"/>
      <c r="CK21" s="1242"/>
      <c r="CL21" s="1242"/>
      <c r="CM21" s="1242"/>
      <c r="CN21" s="8">
        <v>9</v>
      </c>
      <c r="CO21" s="9" t="s">
        <v>861</v>
      </c>
      <c r="CP21" s="820">
        <v>22193516</v>
      </c>
      <c r="CQ21" s="820">
        <v>22842123</v>
      </c>
      <c r="CR21" s="96">
        <f t="shared" si="15"/>
        <v>648607</v>
      </c>
      <c r="CS21" s="8">
        <f t="shared" si="16"/>
        <v>9</v>
      </c>
      <c r="CT21" s="270" t="s">
        <v>388</v>
      </c>
      <c r="CU21" s="343"/>
      <c r="CV21" s="343"/>
      <c r="CW21" s="371">
        <f>SUM(CV19:CV20)</f>
        <v>132721.89838600002</v>
      </c>
      <c r="CX21" s="8">
        <v>9</v>
      </c>
      <c r="CY21" s="1242"/>
      <c r="CZ21" s="1242"/>
      <c r="DA21" s="1242"/>
      <c r="DB21" s="128"/>
    </row>
    <row r="22" spans="1:106" s="1310" customFormat="1" ht="14.25" thickTop="1">
      <c r="A22" s="3">
        <f t="shared" si="0"/>
        <v>11</v>
      </c>
      <c r="B22" s="143">
        <v>40391</v>
      </c>
      <c r="C22" s="144">
        <v>1703414.9879999999</v>
      </c>
      <c r="D22" s="145">
        <v>1695905.8135511018</v>
      </c>
      <c r="E22" s="36">
        <f t="shared" si="17"/>
        <v>-7509.1744488980621</v>
      </c>
      <c r="F22" s="36">
        <f t="shared" si="18"/>
        <v>-6999</v>
      </c>
      <c r="G22" s="1242"/>
      <c r="H22" s="3">
        <f t="shared" si="1"/>
        <v>10</v>
      </c>
      <c r="I22" s="525" t="s">
        <v>372</v>
      </c>
      <c r="J22" s="164"/>
      <c r="K22" s="801">
        <f>SUM(K15:K21)</f>
        <v>-6902213.592236178</v>
      </c>
      <c r="L22" s="806"/>
      <c r="M22" s="8">
        <f t="shared" si="2"/>
        <v>10</v>
      </c>
      <c r="N22" s="1242" t="s">
        <v>692</v>
      </c>
      <c r="O22" s="1242"/>
      <c r="P22" s="1242"/>
      <c r="Q22" s="348">
        <v>21591916</v>
      </c>
      <c r="R22" s="8">
        <f t="shared" si="3"/>
        <v>10</v>
      </c>
      <c r="S22" s="1242"/>
      <c r="T22" s="1242"/>
      <c r="U22" s="137"/>
      <c r="V22" s="8">
        <f t="shared" si="4"/>
        <v>10</v>
      </c>
      <c r="W22" s="249" t="s">
        <v>35</v>
      </c>
      <c r="X22" s="155">
        <f>FIT</f>
        <v>0.35</v>
      </c>
      <c r="Y22" s="1095">
        <f>+Y20*FIT</f>
        <v>-52657745.43294999</v>
      </c>
      <c r="Z22" s="1242">
        <f t="shared" si="5"/>
        <v>10</v>
      </c>
      <c r="AA22" s="1242" t="s">
        <v>534</v>
      </c>
      <c r="AB22" s="130">
        <v>29687.374117846262</v>
      </c>
      <c r="AC22" s="149">
        <v>1910.2386084615002</v>
      </c>
      <c r="AD22" s="128">
        <f t="shared" si="19"/>
        <v>-27777.135509384763</v>
      </c>
      <c r="AE22" s="8">
        <f t="shared" si="6"/>
        <v>10</v>
      </c>
      <c r="AF22" s="9"/>
      <c r="AG22" s="47"/>
      <c r="AH22" s="47"/>
      <c r="AI22" s="736"/>
      <c r="AO22" s="8">
        <f t="shared" si="7"/>
        <v>10</v>
      </c>
      <c r="AP22" s="1242" t="s">
        <v>370</v>
      </c>
      <c r="AQ22" s="128"/>
      <c r="AR22" s="128"/>
      <c r="AS22" s="128"/>
      <c r="AT22" s="128"/>
      <c r="AU22" s="128"/>
      <c r="AV22" s="129">
        <f>ROUND(AV19*AV21,0)</f>
        <v>9076134</v>
      </c>
      <c r="AW22" s="128"/>
      <c r="AX22" s="8">
        <f t="shared" si="8"/>
        <v>10</v>
      </c>
      <c r="AY22" s="312" t="s">
        <v>1258</v>
      </c>
      <c r="AZ22" s="152">
        <f>SUM(AZ14:AZ21)</f>
        <v>5789566</v>
      </c>
      <c r="BA22" s="152">
        <f>SUM(BA14:BA21)</f>
        <v>5104001.1879090769</v>
      </c>
      <c r="BB22" s="152">
        <f>SUM(BB14:BB21)</f>
        <v>-685564.81209092285</v>
      </c>
      <c r="BC22" s="8"/>
      <c r="BD22" s="130"/>
      <c r="BE22" s="1242"/>
      <c r="BF22" s="1242"/>
      <c r="BG22" s="1242"/>
      <c r="BH22" s="130"/>
      <c r="BI22" s="8">
        <f t="shared" si="11"/>
        <v>10</v>
      </c>
      <c r="BJ22" s="1242"/>
      <c r="BK22" s="110"/>
      <c r="BL22" s="151"/>
      <c r="BM22" s="1068"/>
      <c r="BN22" s="1068"/>
      <c r="BR22" s="1242"/>
      <c r="BS22" s="1242"/>
      <c r="BT22" s="1242"/>
      <c r="BU22" s="1242"/>
      <c r="BV22" s="8">
        <f t="shared" si="12"/>
        <v>10</v>
      </c>
      <c r="BW22" s="9"/>
      <c r="BX22" s="150"/>
      <c r="BY22" s="128"/>
      <c r="BZ22" s="3">
        <f t="shared" si="13"/>
        <v>10</v>
      </c>
      <c r="CA22" s="1242"/>
      <c r="CB22" s="128"/>
      <c r="CC22" s="128"/>
      <c r="CD22" s="8"/>
      <c r="CE22" s="9"/>
      <c r="CF22" s="1242"/>
      <c r="CG22" s="1242"/>
      <c r="CH22" s="1242"/>
      <c r="CI22" s="8"/>
      <c r="CJ22" s="9"/>
      <c r="CK22" s="1242"/>
      <c r="CL22" s="1242"/>
      <c r="CM22" s="1242"/>
      <c r="CN22" s="8">
        <v>10</v>
      </c>
      <c r="CO22" s="9" t="s">
        <v>864</v>
      </c>
      <c r="CP22" s="55">
        <f>SUM(CP14:CP21)</f>
        <v>83833274</v>
      </c>
      <c r="CQ22" s="55">
        <f>SUM(CQ14:CQ21)</f>
        <v>86018658</v>
      </c>
      <c r="CR22" s="724">
        <f>SUM(CR13:CR21)</f>
        <v>2185384</v>
      </c>
      <c r="CS22" s="8">
        <f t="shared" si="16"/>
        <v>10</v>
      </c>
      <c r="CT22" s="312"/>
      <c r="CU22" s="343"/>
      <c r="CV22" s="343"/>
      <c r="CW22" s="371"/>
      <c r="CX22" s="8">
        <v>10</v>
      </c>
      <c r="CY22" s="9" t="s">
        <v>13</v>
      </c>
      <c r="CZ22" s="155">
        <f>FIT</f>
        <v>0.35</v>
      </c>
      <c r="DA22" s="1242"/>
      <c r="DB22" s="55">
        <f>-ROUND(+DB20*CZ22,0)</f>
        <v>-6071</v>
      </c>
    </row>
    <row r="23" spans="1:106" s="1310" customFormat="1" ht="14.25" thickBot="1">
      <c r="A23" s="3">
        <f t="shared" si="0"/>
        <v>12</v>
      </c>
      <c r="B23" s="143">
        <v>40422</v>
      </c>
      <c r="C23" s="144">
        <v>1637493.102</v>
      </c>
      <c r="D23" s="145">
        <v>1642184.375164137</v>
      </c>
      <c r="E23" s="36">
        <f t="shared" si="17"/>
        <v>4691.2731641370337</v>
      </c>
      <c r="F23" s="36">
        <f t="shared" si="18"/>
        <v>4372</v>
      </c>
      <c r="G23" s="1242"/>
      <c r="H23" s="3">
        <f t="shared" si="1"/>
        <v>11</v>
      </c>
      <c r="I23" s="1242"/>
      <c r="J23" s="164"/>
      <c r="K23" s="806"/>
      <c r="L23" s="806"/>
      <c r="M23" s="8">
        <f t="shared" si="2"/>
        <v>11</v>
      </c>
      <c r="N23" s="361" t="s">
        <v>926</v>
      </c>
      <c r="O23" s="343"/>
      <c r="P23" s="348"/>
      <c r="Q23" s="420">
        <f>SUM(Q14:Q22)</f>
        <v>111267085.54463938</v>
      </c>
      <c r="R23" s="8">
        <f t="shared" si="3"/>
        <v>11</v>
      </c>
      <c r="S23" s="1242" t="s">
        <v>860</v>
      </c>
      <c r="T23" s="1242"/>
      <c r="U23" s="137"/>
      <c r="V23" s="8">
        <f t="shared" si="4"/>
        <v>11</v>
      </c>
      <c r="W23" s="249" t="s">
        <v>369</v>
      </c>
      <c r="Y23" s="1345">
        <f>-Y22</f>
        <v>52657745.43294999</v>
      </c>
      <c r="Z23" s="1242">
        <f t="shared" si="5"/>
        <v>11</v>
      </c>
      <c r="AA23" s="1242" t="s">
        <v>535</v>
      </c>
      <c r="AB23" s="109">
        <v>-315680.44999999995</v>
      </c>
      <c r="AC23" s="149">
        <v>340290.55000000005</v>
      </c>
      <c r="AD23" s="128">
        <f>AC23-AB23</f>
        <v>655971</v>
      </c>
      <c r="AE23" s="8">
        <f t="shared" si="6"/>
        <v>11</v>
      </c>
      <c r="AF23" s="9" t="s">
        <v>13</v>
      </c>
      <c r="AG23" s="231"/>
      <c r="AH23" s="808">
        <f>FIT</f>
        <v>0.35</v>
      </c>
      <c r="AI23" s="800">
        <f>-AI21*0.35</f>
        <v>370705.31399647536</v>
      </c>
      <c r="AO23" s="8">
        <f t="shared" si="7"/>
        <v>11</v>
      </c>
      <c r="AP23" s="1242"/>
      <c r="AQ23" s="128"/>
      <c r="AR23" s="128"/>
      <c r="AS23" s="128"/>
      <c r="AT23" s="128"/>
      <c r="AU23" s="128"/>
      <c r="AV23" s="128"/>
      <c r="AW23" s="128"/>
      <c r="AX23" s="8">
        <f t="shared" si="8"/>
        <v>11</v>
      </c>
      <c r="AY23" s="78"/>
      <c r="AZ23" s="129"/>
      <c r="BA23" s="129"/>
      <c r="BB23" s="131"/>
      <c r="BC23" s="8"/>
      <c r="BD23" s="1242"/>
      <c r="BE23" s="1242"/>
      <c r="BF23" s="1242"/>
      <c r="BG23" s="1242"/>
      <c r="BH23" s="109"/>
      <c r="BI23" s="8">
        <f t="shared" si="11"/>
        <v>11</v>
      </c>
      <c r="BJ23" s="9" t="s">
        <v>13</v>
      </c>
      <c r="BK23" s="10">
        <f>FIT</f>
        <v>0.35</v>
      </c>
      <c r="BL23" s="99">
        <f>ROUND(-BL21*BK23,0)</f>
        <v>-108219</v>
      </c>
      <c r="BM23" s="1068"/>
      <c r="BN23" s="1068"/>
      <c r="BR23" s="1242"/>
      <c r="BS23" s="1242"/>
      <c r="BT23" s="1242"/>
      <c r="BU23" s="1242"/>
      <c r="BV23" s="8">
        <f t="shared" si="12"/>
        <v>11</v>
      </c>
      <c r="BW23" s="373" t="s">
        <v>967</v>
      </c>
      <c r="BX23" s="454">
        <f>BX21/4</f>
        <v>82250</v>
      </c>
      <c r="BY23" s="128"/>
      <c r="BZ23" s="3">
        <f t="shared" si="13"/>
        <v>11</v>
      </c>
      <c r="CA23" s="112" t="s">
        <v>1145</v>
      </c>
      <c r="CB23" s="128"/>
      <c r="CC23" s="128">
        <f>CC21/36*12</f>
        <v>-500359.28333333228</v>
      </c>
      <c r="CD23" s="269"/>
      <c r="CE23" s="1242"/>
      <c r="CF23" s="132"/>
      <c r="CG23" s="132"/>
      <c r="CH23" s="132"/>
      <c r="CI23" s="269"/>
      <c r="CJ23" s="132"/>
      <c r="CK23" s="132"/>
      <c r="CL23" s="132"/>
      <c r="CM23" s="132"/>
      <c r="CN23" s="8">
        <v>11</v>
      </c>
      <c r="CO23" s="1242"/>
      <c r="CP23" s="55"/>
      <c r="CQ23" s="55"/>
      <c r="CR23" s="55"/>
      <c r="CS23" s="8">
        <f t="shared" si="16"/>
        <v>11</v>
      </c>
      <c r="CT23" s="696" t="s">
        <v>587</v>
      </c>
      <c r="CU23" s="67"/>
      <c r="CV23" s="67"/>
      <c r="CW23" s="371"/>
      <c r="CX23" s="8">
        <v>11</v>
      </c>
      <c r="CY23" s="1242"/>
      <c r="CZ23" s="1242"/>
      <c r="DA23" s="1242"/>
      <c r="DB23" s="153"/>
    </row>
    <row r="24" spans="1:106" s="1310" customFormat="1" ht="14.25" thickTop="1" thickBot="1">
      <c r="A24" s="3">
        <f t="shared" si="0"/>
        <v>13</v>
      </c>
      <c r="B24" s="143">
        <v>40452</v>
      </c>
      <c r="C24" s="144">
        <v>1814109.534</v>
      </c>
      <c r="D24" s="145">
        <v>1830542.7936282121</v>
      </c>
      <c r="E24" s="36">
        <f t="shared" si="17"/>
        <v>16433.259628212079</v>
      </c>
      <c r="F24" s="36">
        <f t="shared" si="18"/>
        <v>15316</v>
      </c>
      <c r="G24" s="1242"/>
      <c r="H24" s="3">
        <f t="shared" si="1"/>
        <v>12</v>
      </c>
      <c r="J24" s="164"/>
      <c r="K24" s="806"/>
      <c r="L24" s="806"/>
      <c r="M24" s="8">
        <f t="shared" si="2"/>
        <v>12</v>
      </c>
      <c r="N24" s="1242"/>
      <c r="O24" s="1242"/>
      <c r="P24" s="1242"/>
      <c r="Q24" s="348"/>
      <c r="R24" s="8">
        <f t="shared" si="3"/>
        <v>12</v>
      </c>
      <c r="S24" s="9" t="s">
        <v>380</v>
      </c>
      <c r="T24" s="57">
        <v>16263334</v>
      </c>
      <c r="U24" s="137"/>
      <c r="Y24" s="1242"/>
      <c r="Z24" s="1242">
        <f t="shared" si="5"/>
        <v>12</v>
      </c>
      <c r="AA24" s="1242" t="s">
        <v>982</v>
      </c>
      <c r="AB24" s="109">
        <v>0</v>
      </c>
      <c r="AC24" s="128">
        <v>1464898</v>
      </c>
      <c r="AD24" s="128">
        <f>AC24-AB24</f>
        <v>1464898</v>
      </c>
      <c r="AE24" s="8">
        <f t="shared" si="6"/>
        <v>12</v>
      </c>
      <c r="AF24" s="9"/>
      <c r="AG24" s="231"/>
      <c r="AH24" s="231"/>
      <c r="AI24" s="1068"/>
      <c r="AO24" s="8">
        <f t="shared" si="7"/>
        <v>12</v>
      </c>
      <c r="AP24" s="9" t="s">
        <v>24</v>
      </c>
      <c r="AQ24" s="128"/>
      <c r="AR24" s="128"/>
      <c r="AS24" s="370"/>
      <c r="AT24" s="370"/>
      <c r="AU24" s="1377"/>
      <c r="AV24" s="128">
        <v>11596412.02</v>
      </c>
      <c r="AW24" s="128"/>
      <c r="AX24" s="8">
        <f t="shared" si="8"/>
        <v>12</v>
      </c>
      <c r="AY24" s="78" t="s">
        <v>371</v>
      </c>
      <c r="AZ24" s="128">
        <v>475542.54347147228</v>
      </c>
      <c r="BA24" s="128">
        <v>419231.71905799129</v>
      </c>
      <c r="BB24" s="149">
        <f>BA24-AZ24</f>
        <v>-56310.824413480994</v>
      </c>
      <c r="BC24" s="8"/>
      <c r="BD24" s="1242"/>
      <c r="BE24" s="1242"/>
      <c r="BF24" s="1242"/>
      <c r="BG24" s="1242"/>
      <c r="BH24" s="109"/>
      <c r="BI24" s="8">
        <f t="shared" si="11"/>
        <v>12</v>
      </c>
      <c r="BJ24" s="9" t="s">
        <v>25</v>
      </c>
      <c r="BK24" s="98"/>
      <c r="BL24" s="802">
        <f>-BL21-BL23</f>
        <v>-200979.42278499901</v>
      </c>
      <c r="BM24" s="1068"/>
      <c r="BN24" s="1068"/>
      <c r="BR24" s="1242"/>
      <c r="BS24" s="1242"/>
      <c r="BT24" s="1242"/>
      <c r="BU24" s="1242"/>
      <c r="BV24" s="8">
        <f t="shared" si="12"/>
        <v>12</v>
      </c>
      <c r="BW24" s="369" t="s">
        <v>968</v>
      </c>
      <c r="BX24" s="455">
        <v>0</v>
      </c>
      <c r="BY24" s="128"/>
      <c r="BZ24" s="3">
        <f t="shared" si="13"/>
        <v>12</v>
      </c>
      <c r="CA24" s="9"/>
      <c r="CB24" s="128"/>
      <c r="CC24" s="151"/>
      <c r="CD24" s="1242"/>
      <c r="CE24" s="1242"/>
      <c r="CF24" s="1242"/>
      <c r="CG24" s="1242"/>
      <c r="CH24" s="1242"/>
      <c r="CI24" s="1242"/>
      <c r="CJ24" s="1242"/>
      <c r="CK24" s="1242"/>
      <c r="CL24" s="1242"/>
      <c r="CM24" s="1242"/>
      <c r="CN24" s="8">
        <v>12</v>
      </c>
      <c r="CO24" s="9" t="s">
        <v>604</v>
      </c>
      <c r="CP24" s="820">
        <v>7347779.2280714288</v>
      </c>
      <c r="CQ24" s="820">
        <v>7489825.2280714288</v>
      </c>
      <c r="CR24" s="96">
        <f>CQ24-CP24</f>
        <v>142046</v>
      </c>
      <c r="CS24" s="8">
        <f t="shared" si="16"/>
        <v>12</v>
      </c>
      <c r="CT24" s="269" t="s">
        <v>588</v>
      </c>
      <c r="CU24" s="343"/>
      <c r="CV24" s="551">
        <v>1409135.5231000001</v>
      </c>
      <c r="CX24" s="8">
        <v>12</v>
      </c>
      <c r="CY24" s="9" t="s">
        <v>25</v>
      </c>
      <c r="CZ24" s="9"/>
      <c r="DA24" s="1242"/>
      <c r="DB24" s="761">
        <f>-DB20-DB22</f>
        <v>-11276</v>
      </c>
    </row>
    <row r="25" spans="1:106" s="1310" customFormat="1" ht="14.25" thickTop="1" thickBot="1">
      <c r="A25" s="3">
        <f t="shared" si="0"/>
        <v>14</v>
      </c>
      <c r="B25" s="143">
        <v>40483</v>
      </c>
      <c r="C25" s="144">
        <v>2122228.0380000002</v>
      </c>
      <c r="D25" s="145">
        <v>2059041.0425958706</v>
      </c>
      <c r="E25" s="36">
        <f t="shared" si="17"/>
        <v>-63186.995404129615</v>
      </c>
      <c r="F25" s="36">
        <f t="shared" si="18"/>
        <v>-58890</v>
      </c>
      <c r="G25" s="1242"/>
      <c r="H25" s="3">
        <f t="shared" si="1"/>
        <v>13</v>
      </c>
      <c r="I25" s="79" t="s">
        <v>1031</v>
      </c>
      <c r="J25" s="164"/>
      <c r="K25" s="806"/>
      <c r="L25" s="806"/>
      <c r="M25" s="8">
        <f t="shared" si="2"/>
        <v>13</v>
      </c>
      <c r="N25" s="364" t="s">
        <v>927</v>
      </c>
      <c r="O25" s="343"/>
      <c r="P25" s="362"/>
      <c r="Q25" s="348"/>
      <c r="R25" s="8">
        <f t="shared" si="3"/>
        <v>13</v>
      </c>
      <c r="S25" s="1242" t="s">
        <v>26</v>
      </c>
      <c r="T25" s="55">
        <v>205470963.593099</v>
      </c>
      <c r="U25" s="137"/>
      <c r="Z25" s="38">
        <f t="shared" si="5"/>
        <v>13</v>
      </c>
      <c r="AA25" s="1242" t="s">
        <v>1146</v>
      </c>
      <c r="AB25" s="149">
        <v>63989</v>
      </c>
      <c r="AC25" s="149">
        <v>47110</v>
      </c>
      <c r="AD25" s="128">
        <f>AC25-AB25</f>
        <v>-16879</v>
      </c>
      <c r="AE25" s="8">
        <f t="shared" si="6"/>
        <v>13</v>
      </c>
      <c r="AF25" s="9" t="s">
        <v>369</v>
      </c>
      <c r="AG25" s="47"/>
      <c r="AH25" s="47"/>
      <c r="AI25" s="437">
        <f>-AI21-AI23</f>
        <v>688452.72599345422</v>
      </c>
      <c r="AO25" s="8">
        <f t="shared" si="7"/>
        <v>13</v>
      </c>
      <c r="AP25" s="46" t="s">
        <v>39</v>
      </c>
      <c r="AQ25" s="128"/>
      <c r="AR25" s="128"/>
      <c r="AS25" s="128"/>
      <c r="AT25" s="128"/>
      <c r="AU25" s="128"/>
      <c r="AV25" s="153"/>
      <c r="AW25" s="129">
        <f>ROUND(AV22-AV24,0)</f>
        <v>-2520278</v>
      </c>
      <c r="AX25" s="8">
        <f t="shared" si="8"/>
        <v>13</v>
      </c>
      <c r="AY25" s="1242" t="s">
        <v>1250</v>
      </c>
      <c r="AZ25" s="183">
        <f>SUM(AZ22:AZ24)</f>
        <v>6265108.5434714723</v>
      </c>
      <c r="BA25" s="183">
        <f>SUM(BA22:BA24)</f>
        <v>5523232.9069670681</v>
      </c>
      <c r="BB25" s="183">
        <f>SUM(BB22:BB24)</f>
        <v>-741875.63650440378</v>
      </c>
      <c r="BC25" s="8"/>
      <c r="BD25" s="1242"/>
      <c r="BE25" s="1242"/>
      <c r="BF25" s="1242"/>
      <c r="BG25" s="1242"/>
      <c r="BH25" s="109"/>
      <c r="BI25" s="8"/>
      <c r="BJ25" s="109"/>
      <c r="BK25" s="109"/>
      <c r="BL25" s="109"/>
      <c r="BR25" s="1242"/>
      <c r="BS25" s="1242"/>
      <c r="BT25" s="1242"/>
      <c r="BU25" s="1242"/>
      <c r="BV25" s="8">
        <f t="shared" si="12"/>
        <v>13</v>
      </c>
      <c r="BW25" s="9" t="s">
        <v>39</v>
      </c>
      <c r="BX25" s="372">
        <f>+BX23-BX24</f>
        <v>82250</v>
      </c>
      <c r="BY25" s="351">
        <f>+BX25</f>
        <v>82250</v>
      </c>
      <c r="BZ25" s="3">
        <f t="shared" si="13"/>
        <v>13</v>
      </c>
      <c r="CA25" s="1242" t="s">
        <v>661</v>
      </c>
      <c r="CB25" s="128"/>
      <c r="CC25" s="128">
        <v>-2082384.0999999996</v>
      </c>
      <c r="CD25" s="1242"/>
      <c r="CE25" s="1242"/>
      <c r="CF25" s="1242"/>
      <c r="CG25" s="1242"/>
      <c r="CH25" s="1242"/>
      <c r="CI25" s="1242"/>
      <c r="CJ25" s="1242"/>
      <c r="CK25" s="1242"/>
      <c r="CL25" s="1242"/>
      <c r="CM25" s="1242"/>
      <c r="CN25" s="8">
        <v>13</v>
      </c>
      <c r="CO25" s="9" t="s">
        <v>386</v>
      </c>
      <c r="CP25" s="55">
        <f>SUM(CP22:CP24)</f>
        <v>91181053.228071421</v>
      </c>
      <c r="CQ25" s="55">
        <f>SUM(CQ22:CQ24)</f>
        <v>93508483.228071421</v>
      </c>
      <c r="CR25" s="55">
        <f>SUM(CR22:CR24)</f>
        <v>2327430</v>
      </c>
      <c r="CS25" s="8">
        <f t="shared" si="16"/>
        <v>13</v>
      </c>
      <c r="CT25" s="339" t="s">
        <v>589</v>
      </c>
      <c r="CU25" s="1381">
        <v>2.1938000000000013E-2</v>
      </c>
      <c r="CV25" s="550">
        <f>+CV24*CU25</f>
        <v>30913.615105767822</v>
      </c>
      <c r="CX25" s="8"/>
      <c r="CY25" s="1242"/>
      <c r="CZ25" s="1242"/>
      <c r="DA25" s="1242"/>
      <c r="DB25" s="1242"/>
    </row>
    <row r="26" spans="1:106" s="1310" customFormat="1" ht="13.5" thickTop="1">
      <c r="A26" s="3">
        <f t="shared" si="0"/>
        <v>15</v>
      </c>
      <c r="B26" s="143">
        <v>40513</v>
      </c>
      <c r="C26" s="162">
        <v>2328202.8760000002</v>
      </c>
      <c r="D26" s="162">
        <v>2397719.3239888567</v>
      </c>
      <c r="E26" s="431">
        <f t="shared" si="17"/>
        <v>69516.447988856584</v>
      </c>
      <c r="F26" s="431">
        <f t="shared" si="18"/>
        <v>64789</v>
      </c>
      <c r="G26" s="1242"/>
      <c r="H26" s="3">
        <f t="shared" si="1"/>
        <v>14</v>
      </c>
      <c r="I26" s="79" t="s">
        <v>740</v>
      </c>
      <c r="J26" s="164"/>
      <c r="K26" s="745">
        <v>-436486.01537727262</v>
      </c>
      <c r="L26" s="806"/>
      <c r="M26" s="8">
        <f t="shared" si="2"/>
        <v>14</v>
      </c>
      <c r="N26" s="1242" t="s">
        <v>941</v>
      </c>
      <c r="O26" s="1242"/>
      <c r="P26" s="362">
        <f>'JHS-22'!$M$13</f>
        <v>4.444E-3</v>
      </c>
      <c r="Q26" s="348">
        <f>-$Q$23*P26</f>
        <v>-494470.92816037743</v>
      </c>
      <c r="R26" s="8">
        <f t="shared" si="3"/>
        <v>14</v>
      </c>
      <c r="S26" s="1242" t="s">
        <v>28</v>
      </c>
      <c r="T26" s="55">
        <v>-237907201.07409999</v>
      </c>
      <c r="U26" s="137"/>
      <c r="Z26" s="38">
        <f t="shared" si="5"/>
        <v>14</v>
      </c>
      <c r="AA26" s="9" t="s">
        <v>21</v>
      </c>
      <c r="AB26" s="152">
        <f>SUM(AB14:AB25)</f>
        <v>-4656006.1190861929</v>
      </c>
      <c r="AC26" s="152">
        <f>SUM(AC14:AC25)</f>
        <v>1973041.4389260092</v>
      </c>
      <c r="AD26" s="152">
        <f>SUM(AD14:AD25)</f>
        <v>6629047.5580122024</v>
      </c>
      <c r="AE26" s="8"/>
      <c r="AF26" s="132"/>
      <c r="AG26" s="132"/>
      <c r="AH26" s="132"/>
      <c r="AI26" s="132"/>
      <c r="AO26" s="8">
        <f t="shared" si="7"/>
        <v>14</v>
      </c>
      <c r="AP26" s="159"/>
      <c r="AQ26" s="128"/>
      <c r="AR26" s="128"/>
      <c r="AS26" s="128"/>
      <c r="AT26" s="128"/>
      <c r="AU26" s="128"/>
      <c r="AV26" s="128"/>
      <c r="AW26" s="128"/>
      <c r="AX26" s="8">
        <f t="shared" si="8"/>
        <v>14</v>
      </c>
      <c r="AY26" s="1242"/>
      <c r="AZ26" s="128"/>
      <c r="BA26" s="128"/>
      <c r="BB26" s="149"/>
      <c r="BC26" s="8"/>
      <c r="BD26" s="1242"/>
      <c r="BE26" s="1242"/>
      <c r="BF26" s="1242"/>
      <c r="BG26" s="1242"/>
      <c r="BH26" s="1242"/>
      <c r="BI26" s="269"/>
      <c r="BJ26" s="109"/>
      <c r="BK26" s="109"/>
      <c r="BL26" s="109"/>
      <c r="BR26" s="1242"/>
      <c r="BS26" s="1242"/>
      <c r="BT26" s="1242"/>
      <c r="BU26" s="1242"/>
      <c r="BV26" s="8">
        <f t="shared" si="12"/>
        <v>14</v>
      </c>
      <c r="BW26" s="1242"/>
      <c r="BX26" s="128"/>
      <c r="BY26" s="151"/>
      <c r="BZ26" s="3">
        <f t="shared" si="13"/>
        <v>14</v>
      </c>
      <c r="CA26" s="1242"/>
      <c r="CB26" s="128"/>
      <c r="CC26" s="147"/>
      <c r="CD26" s="1242"/>
      <c r="CE26" s="1242"/>
      <c r="CF26" s="1242"/>
      <c r="CG26" s="1242"/>
      <c r="CH26" s="1242"/>
      <c r="CI26" s="1242"/>
      <c r="CJ26" s="1242"/>
      <c r="CK26" s="1242"/>
      <c r="CL26" s="1242"/>
      <c r="CM26" s="1242"/>
      <c r="CN26" s="8">
        <v>14</v>
      </c>
      <c r="CO26" s="9"/>
      <c r="CP26" s="55"/>
      <c r="CQ26" s="55"/>
      <c r="CR26" s="55"/>
      <c r="CS26" s="8">
        <f t="shared" si="16"/>
        <v>14</v>
      </c>
      <c r="CT26" s="270" t="s">
        <v>590</v>
      </c>
      <c r="CU26" s="270"/>
      <c r="CV26" s="270"/>
      <c r="CW26" s="371">
        <f>SUM(CV24:CV25)</f>
        <v>1440049.1382057678</v>
      </c>
      <c r="CX26" s="269"/>
      <c r="CY26" s="1242"/>
      <c r="CZ26" s="1242"/>
      <c r="DA26" s="1242"/>
      <c r="DB26" s="1242"/>
    </row>
    <row r="27" spans="1:106" s="1310" customFormat="1">
      <c r="A27" s="3">
        <f t="shared" si="0"/>
        <v>16</v>
      </c>
      <c r="B27" s="1242"/>
      <c r="C27" s="160">
        <f>ROUND(SUM(C15:C26),0)</f>
        <v>22594274</v>
      </c>
      <c r="D27" s="160">
        <f>ROUND(SUM(D15:D26),0)</f>
        <v>22846330</v>
      </c>
      <c r="E27" s="160">
        <f>ROUND(SUM(E15:E26),0)</f>
        <v>252056</v>
      </c>
      <c r="F27" s="160">
        <f>ROUND(SUM(F15:F26),0)</f>
        <v>234916</v>
      </c>
      <c r="G27" s="1242"/>
      <c r="H27" s="3">
        <f t="shared" si="1"/>
        <v>15</v>
      </c>
      <c r="I27" s="382" t="s">
        <v>373</v>
      </c>
      <c r="J27" s="1242"/>
      <c r="K27" s="801">
        <f>SUM(K25:K26)</f>
        <v>-436486.01537727262</v>
      </c>
      <c r="L27" s="806"/>
      <c r="M27" s="8">
        <f t="shared" si="2"/>
        <v>15</v>
      </c>
      <c r="N27" s="1242" t="s">
        <v>367</v>
      </c>
      <c r="O27" s="1242"/>
      <c r="P27" s="363">
        <f>'JHS-22'!$M$14</f>
        <v>2E-3</v>
      </c>
      <c r="Q27" s="348">
        <f>-$Q$23*P27</f>
        <v>-222534.17108927877</v>
      </c>
      <c r="R27" s="8">
        <f t="shared" si="3"/>
        <v>15</v>
      </c>
      <c r="S27" s="1242" t="s">
        <v>34</v>
      </c>
      <c r="T27" s="5"/>
      <c r="U27" s="137"/>
      <c r="Z27" s="38">
        <f t="shared" si="5"/>
        <v>15</v>
      </c>
      <c r="AA27" s="1242"/>
      <c r="AB27" s="1242"/>
      <c r="AC27" s="1242"/>
      <c r="AD27" s="1242"/>
      <c r="AE27" s="132"/>
      <c r="AF27" s="1242"/>
      <c r="AG27" s="1242"/>
      <c r="AH27" s="1242"/>
      <c r="AI27" s="1242"/>
      <c r="AO27" s="8">
        <f t="shared" si="7"/>
        <v>15</v>
      </c>
      <c r="AP27" s="46" t="s">
        <v>31</v>
      </c>
      <c r="AQ27" s="128"/>
      <c r="AR27" s="128"/>
      <c r="AS27" s="128"/>
      <c r="AT27" s="128"/>
      <c r="AU27" s="128"/>
      <c r="AV27" s="155">
        <v>0.35</v>
      </c>
      <c r="AW27" s="128">
        <f>ROUND(-AW25*AV27,0)</f>
        <v>882097</v>
      </c>
      <c r="AX27" s="8">
        <f t="shared" si="8"/>
        <v>15</v>
      </c>
      <c r="AY27" s="1242" t="s">
        <v>782</v>
      </c>
      <c r="AZ27" s="128"/>
      <c r="BA27" s="128"/>
      <c r="BB27" s="131">
        <f>BB25</f>
        <v>-741875.63650440378</v>
      </c>
      <c r="BC27" s="8"/>
      <c r="BD27" s="9"/>
      <c r="BE27" s="109"/>
      <c r="BF27" s="109"/>
      <c r="BG27" s="109"/>
      <c r="BH27" s="163"/>
      <c r="BI27" s="8"/>
      <c r="BJ27" s="109"/>
      <c r="BK27" s="109"/>
      <c r="BL27" s="109"/>
      <c r="BR27" s="1242"/>
      <c r="BS27" s="1242"/>
      <c r="BT27" s="1242"/>
      <c r="BU27" s="1242"/>
      <c r="BV27" s="8">
        <f t="shared" si="12"/>
        <v>15</v>
      </c>
      <c r="BW27" s="9"/>
      <c r="BX27" s="128"/>
      <c r="BY27" s="814"/>
      <c r="BZ27" s="3">
        <f t="shared" si="13"/>
        <v>15</v>
      </c>
      <c r="CA27" s="1242" t="s">
        <v>39</v>
      </c>
      <c r="CB27" s="128"/>
      <c r="CC27" s="129">
        <f>CC23-CC25</f>
        <v>1582024.8166666673</v>
      </c>
      <c r="CD27" s="1242"/>
      <c r="CE27" s="1242"/>
      <c r="CF27" s="1242"/>
      <c r="CG27" s="1242"/>
      <c r="CH27" s="1242"/>
      <c r="CI27" s="1242"/>
      <c r="CJ27" s="1242"/>
      <c r="CK27" s="1242"/>
      <c r="CL27" s="1242"/>
      <c r="CM27" s="1242"/>
      <c r="CN27" s="8">
        <v>15</v>
      </c>
      <c r="CO27" s="9" t="s">
        <v>782</v>
      </c>
      <c r="CP27" s="55"/>
      <c r="CQ27" s="55"/>
      <c r="CR27" s="453">
        <f>CR25</f>
        <v>2327430</v>
      </c>
      <c r="CS27" s="8">
        <f t="shared" si="16"/>
        <v>15</v>
      </c>
      <c r="CT27" s="312"/>
      <c r="CU27" s="339"/>
      <c r="CV27" s="339"/>
      <c r="CW27" s="371"/>
      <c r="CX27" s="8"/>
      <c r="CY27" s="1242"/>
      <c r="CZ27" s="1242"/>
      <c r="DA27" s="1242"/>
      <c r="DB27" s="1242"/>
    </row>
    <row r="28" spans="1:106" s="1310" customFormat="1" ht="13.5" thickBot="1">
      <c r="A28" s="3">
        <f t="shared" si="0"/>
        <v>17</v>
      </c>
      <c r="B28" s="1242"/>
      <c r="C28" s="109"/>
      <c r="D28" s="109"/>
      <c r="E28" s="8" t="s">
        <v>981</v>
      </c>
      <c r="F28" s="1242"/>
      <c r="G28" s="1242"/>
      <c r="H28" s="3">
        <f t="shared" si="1"/>
        <v>16</v>
      </c>
      <c r="I28" s="1242"/>
      <c r="J28" s="1242"/>
      <c r="K28" s="806"/>
      <c r="L28" s="806"/>
      <c r="M28" s="8">
        <f t="shared" si="2"/>
        <v>16</v>
      </c>
      <c r="N28" s="1242" t="s">
        <v>832</v>
      </c>
      <c r="O28" s="1242"/>
      <c r="P28" s="1249">
        <f>'JHS-22'!$M$15</f>
        <v>3.8558000000000002E-2</v>
      </c>
      <c r="Q28" s="348">
        <f>-$Q$23*P28</f>
        <v>-4290236.2844302058</v>
      </c>
      <c r="R28" s="8">
        <f t="shared" si="3"/>
        <v>16</v>
      </c>
      <c r="S28" s="9" t="s">
        <v>868</v>
      </c>
      <c r="T28" s="112"/>
      <c r="U28" s="96">
        <f>SUM(T24:T27)</f>
        <v>-16172903.48100099</v>
      </c>
      <c r="Z28" s="38">
        <f t="shared" si="5"/>
        <v>16</v>
      </c>
      <c r="AA28" s="9" t="s">
        <v>781</v>
      </c>
      <c r="AB28" s="128"/>
      <c r="AC28" s="128"/>
      <c r="AD28" s="128">
        <f>AD26</f>
        <v>6629047.5580122024</v>
      </c>
      <c r="AE28" s="132"/>
      <c r="AF28" s="132"/>
      <c r="AG28" s="132"/>
      <c r="AH28" s="132"/>
      <c r="AI28" s="132"/>
      <c r="AO28" s="8">
        <f t="shared" si="7"/>
        <v>16</v>
      </c>
      <c r="AP28" s="46" t="s">
        <v>369</v>
      </c>
      <c r="AQ28" s="128"/>
      <c r="AR28" s="128"/>
      <c r="AS28" s="128"/>
      <c r="AT28" s="128"/>
      <c r="AU28" s="128"/>
      <c r="AV28" s="128"/>
      <c r="AW28" s="802">
        <f>-AW25-AW27</f>
        <v>1638181</v>
      </c>
      <c r="AX28" s="8">
        <f t="shared" si="8"/>
        <v>16</v>
      </c>
      <c r="AY28" s="1242"/>
      <c r="AZ28" s="128"/>
      <c r="BA28" s="128"/>
      <c r="BB28" s="149"/>
      <c r="BC28" s="8"/>
      <c r="BD28" s="1242"/>
      <c r="BE28" s="1330"/>
      <c r="BF28" s="1330"/>
      <c r="BG28" s="1330"/>
      <c r="BH28" s="1378"/>
      <c r="BI28" s="8"/>
      <c r="BJ28" s="109"/>
      <c r="BK28" s="109"/>
      <c r="BL28" s="109"/>
      <c r="BR28" s="1242"/>
      <c r="BS28" s="1242"/>
      <c r="BT28" s="1242"/>
      <c r="BU28" s="1242"/>
      <c r="BV28" s="8">
        <f t="shared" si="12"/>
        <v>16</v>
      </c>
      <c r="BW28" s="9" t="s">
        <v>247</v>
      </c>
      <c r="BX28" s="128"/>
      <c r="BY28" s="812">
        <f>+BY19+BY25</f>
        <v>-68325</v>
      </c>
      <c r="BZ28" s="3">
        <f t="shared" si="13"/>
        <v>16</v>
      </c>
      <c r="CA28" s="1242"/>
      <c r="CB28" s="128"/>
      <c r="CC28" s="151"/>
      <c r="CD28" s="1242"/>
      <c r="CE28" s="1242"/>
      <c r="CF28" s="1242"/>
      <c r="CG28" s="1242"/>
      <c r="CH28" s="1242"/>
      <c r="CI28" s="1242"/>
      <c r="CJ28" s="1242"/>
      <c r="CK28" s="1242"/>
      <c r="CL28" s="1242"/>
      <c r="CM28" s="1242"/>
      <c r="CN28" s="8">
        <v>16</v>
      </c>
      <c r="CO28" s="9" t="s">
        <v>48</v>
      </c>
      <c r="CP28" s="55"/>
      <c r="CQ28" s="55"/>
      <c r="CR28" s="55">
        <f>-CR27*0.35</f>
        <v>-814600.5</v>
      </c>
      <c r="CS28" s="8">
        <f t="shared" si="16"/>
        <v>16</v>
      </c>
      <c r="CT28" s="696" t="s">
        <v>591</v>
      </c>
      <c r="CU28" s="67"/>
      <c r="CV28" s="67"/>
      <c r="CW28" s="371"/>
      <c r="CX28" s="8"/>
      <c r="CY28" s="1242"/>
      <c r="CZ28" s="1242"/>
      <c r="DA28" s="1242"/>
      <c r="DB28" s="1242"/>
    </row>
    <row r="29" spans="1:106" s="1310" customFormat="1" ht="14.25" thickTop="1" thickBot="1">
      <c r="A29" s="3">
        <f t="shared" si="0"/>
        <v>18</v>
      </c>
      <c r="B29" s="1242" t="s">
        <v>600</v>
      </c>
      <c r="C29" s="1242" t="s">
        <v>741</v>
      </c>
      <c r="D29" s="137"/>
      <c r="E29" s="434">
        <v>133624642.96513939</v>
      </c>
      <c r="F29" s="726">
        <v>13759867</v>
      </c>
      <c r="G29" s="1242"/>
      <c r="H29" s="3">
        <f t="shared" si="1"/>
        <v>17</v>
      </c>
      <c r="I29" s="1242" t="s">
        <v>322</v>
      </c>
      <c r="J29" s="1242"/>
      <c r="K29" s="806"/>
      <c r="L29" s="745">
        <f>K22+K27</f>
        <v>-7338699.6076134508</v>
      </c>
      <c r="M29" s="8">
        <f t="shared" si="2"/>
        <v>17</v>
      </c>
      <c r="N29" s="1242" t="s">
        <v>335</v>
      </c>
      <c r="O29" s="1242"/>
      <c r="P29" s="348"/>
      <c r="Q29" s="420">
        <f>SUM(Q26:Q28)</f>
        <v>-5007241.3836798621</v>
      </c>
      <c r="R29" s="8">
        <f t="shared" si="3"/>
        <v>17</v>
      </c>
      <c r="S29" s="1242"/>
      <c r="T29" s="30" t="str">
        <f>IF(ROUND(U28,0)=ROUND(('JHS-19'!C45+'JHS-19'!C46),0),"",U28-('JHS-19'!C45+'JHS-19'!C46))</f>
        <v/>
      </c>
      <c r="U29" s="137"/>
      <c r="Z29" s="38">
        <f t="shared" si="5"/>
        <v>17</v>
      </c>
      <c r="AA29" s="9" t="s">
        <v>13</v>
      </c>
      <c r="AB29" s="128"/>
      <c r="AC29" s="155">
        <f>FIT</f>
        <v>0.35</v>
      </c>
      <c r="AD29" s="151">
        <f>-ROUND(AC29*AD28,0)</f>
        <v>-2320167</v>
      </c>
      <c r="AE29" s="132"/>
      <c r="AF29" s="132"/>
      <c r="AG29" s="132"/>
      <c r="AH29" s="132"/>
      <c r="AI29" s="132"/>
      <c r="AX29" s="8">
        <f t="shared" si="8"/>
        <v>17</v>
      </c>
      <c r="AY29" s="9" t="s">
        <v>23</v>
      </c>
      <c r="AZ29" s="1242"/>
      <c r="BA29" s="155">
        <f>FIT</f>
        <v>0.35</v>
      </c>
      <c r="BB29" s="55">
        <f>ROUND(-BB27*BA29,0)</f>
        <v>259656</v>
      </c>
      <c r="BC29" s="8"/>
      <c r="BD29" s="1330"/>
      <c r="BE29" s="1330"/>
      <c r="BF29" s="1330"/>
      <c r="BG29" s="1330"/>
      <c r="BH29" s="1330"/>
      <c r="BI29" s="130"/>
      <c r="BJ29" s="1242"/>
      <c r="BK29" s="1242"/>
      <c r="BL29" s="160"/>
      <c r="BR29" s="8"/>
      <c r="BS29" s="1242"/>
      <c r="BT29" s="1242"/>
      <c r="BU29" s="1242"/>
      <c r="BV29" s="8">
        <f t="shared" si="12"/>
        <v>17</v>
      </c>
      <c r="BW29" s="314"/>
      <c r="BX29" s="128"/>
      <c r="BY29" s="817"/>
      <c r="BZ29" s="3">
        <f t="shared" si="13"/>
        <v>17</v>
      </c>
      <c r="CA29" s="135" t="s">
        <v>48</v>
      </c>
      <c r="CB29" s="128"/>
      <c r="CC29" s="147">
        <f>-CC27*0.35</f>
        <v>-553708.68583333353</v>
      </c>
      <c r="CD29" s="1242"/>
      <c r="CE29" s="1242"/>
      <c r="CF29" s="1242"/>
      <c r="CG29" s="1242"/>
      <c r="CH29" s="1242"/>
      <c r="CI29" s="1242"/>
      <c r="CJ29" s="1242"/>
      <c r="CK29" s="1242"/>
      <c r="CL29" s="1242"/>
      <c r="CM29" s="1242"/>
      <c r="CN29" s="8">
        <v>17</v>
      </c>
      <c r="CO29" s="9" t="s">
        <v>369</v>
      </c>
      <c r="CP29" s="128"/>
      <c r="CQ29" s="128"/>
      <c r="CR29" s="1382">
        <f>-CR27-CR28</f>
        <v>-1512829.5</v>
      </c>
      <c r="CS29" s="8">
        <f t="shared" si="16"/>
        <v>17</v>
      </c>
      <c r="CT29" s="269" t="s">
        <v>592</v>
      </c>
      <c r="CU29" s="343"/>
      <c r="CV29" s="551">
        <v>936138.74316200009</v>
      </c>
      <c r="CX29" s="8"/>
      <c r="CY29" s="1242"/>
      <c r="CZ29" s="1242"/>
      <c r="DA29" s="1242"/>
      <c r="DB29" s="1242"/>
    </row>
    <row r="30" spans="1:106" s="1310" customFormat="1" ht="14.25" thickTop="1" thickBot="1">
      <c r="A30" s="3">
        <f t="shared" si="0"/>
        <v>19</v>
      </c>
      <c r="B30" s="8"/>
      <c r="C30" s="1242" t="s">
        <v>742</v>
      </c>
      <c r="D30" s="137"/>
      <c r="E30" s="149">
        <v>34368344.52352047</v>
      </c>
      <c r="F30" s="149">
        <v>2990016.2532612979</v>
      </c>
      <c r="G30" s="1242"/>
      <c r="H30" s="3">
        <f t="shared" si="1"/>
        <v>18</v>
      </c>
      <c r="I30" s="1242"/>
      <c r="J30" s="1242"/>
      <c r="K30" s="806"/>
      <c r="L30" s="806"/>
      <c r="M30" s="8">
        <f t="shared" si="2"/>
        <v>18</v>
      </c>
      <c r="N30" s="1242"/>
      <c r="O30" s="1242"/>
      <c r="P30" s="348"/>
      <c r="Q30" s="348"/>
      <c r="R30" s="8">
        <f t="shared" si="3"/>
        <v>18</v>
      </c>
      <c r="S30" s="9" t="s">
        <v>40</v>
      </c>
      <c r="T30" s="9"/>
      <c r="U30" s="149">
        <f>U16-T24</f>
        <v>-81996936.198214993</v>
      </c>
      <c r="Z30" s="38">
        <f t="shared" si="5"/>
        <v>18</v>
      </c>
      <c r="AA30" s="9"/>
      <c r="AB30" s="128"/>
      <c r="AC30" s="128"/>
      <c r="AD30" s="153"/>
      <c r="AE30" s="132"/>
      <c r="AF30" s="132"/>
      <c r="AG30" s="132"/>
      <c r="AH30" s="132"/>
      <c r="AI30" s="132"/>
      <c r="AX30" s="8">
        <f t="shared" si="8"/>
        <v>18</v>
      </c>
      <c r="AY30" s="9" t="s">
        <v>369</v>
      </c>
      <c r="AZ30" s="9"/>
      <c r="BA30" s="1242"/>
      <c r="BB30" s="802">
        <f>-BB27-BB29</f>
        <v>482219.63650440378</v>
      </c>
      <c r="BC30" s="8"/>
      <c r="BD30" s="1330"/>
      <c r="BE30" s="1330"/>
      <c r="BF30" s="1330"/>
      <c r="BG30" s="1330"/>
      <c r="BH30" s="1330"/>
      <c r="BI30" s="109"/>
      <c r="BJ30" s="1242"/>
      <c r="BK30" s="1242"/>
      <c r="BL30" s="160"/>
      <c r="BR30" s="8"/>
      <c r="BS30" s="1242"/>
      <c r="BT30" s="1242"/>
      <c r="BU30" s="1242"/>
      <c r="BV30" s="8">
        <f t="shared" si="12"/>
        <v>18</v>
      </c>
      <c r="BW30" s="314" t="s">
        <v>13</v>
      </c>
      <c r="BX30" s="815">
        <v>0.35</v>
      </c>
      <c r="BY30" s="456">
        <f>-BY28*BX30</f>
        <v>23913.75</v>
      </c>
      <c r="BZ30" s="3">
        <f t="shared" si="13"/>
        <v>18</v>
      </c>
      <c r="CA30" s="132"/>
      <c r="CB30" s="132"/>
      <c r="CC30" s="132"/>
      <c r="CD30" s="1242"/>
      <c r="CE30" s="1242"/>
      <c r="CF30" s="1242"/>
      <c r="CG30" s="1242"/>
      <c r="CH30" s="1242"/>
      <c r="CI30" s="1242"/>
      <c r="CJ30" s="1242"/>
      <c r="CK30" s="1242"/>
      <c r="CL30" s="1242"/>
      <c r="CM30" s="1242"/>
      <c r="CN30" s="1242"/>
      <c r="CO30" s="1242"/>
      <c r="CP30" s="1242"/>
      <c r="CQ30" s="1242"/>
      <c r="CR30" s="1242"/>
      <c r="CS30" s="8">
        <f t="shared" si="16"/>
        <v>18</v>
      </c>
      <c r="CT30" s="339" t="s">
        <v>593</v>
      </c>
      <c r="CU30" s="1381">
        <v>2.2624999999999895E-2</v>
      </c>
      <c r="CV30" s="550">
        <f>+CV29*CU30</f>
        <v>21180.139064040155</v>
      </c>
      <c r="CX30" s="1242"/>
      <c r="CY30" s="1242"/>
      <c r="CZ30" s="1242"/>
      <c r="DA30" s="1242"/>
      <c r="DB30" s="1242"/>
    </row>
    <row r="31" spans="1:106" s="1310" customFormat="1" ht="14.25" thickTop="1" thickBot="1">
      <c r="A31" s="3">
        <f t="shared" si="0"/>
        <v>20</v>
      </c>
      <c r="B31" s="1242"/>
      <c r="C31" s="9" t="s">
        <v>743</v>
      </c>
      <c r="D31" s="137"/>
      <c r="E31" s="149">
        <v>34964493.965337753</v>
      </c>
      <c r="F31" s="149">
        <v>2241783.4950816035</v>
      </c>
      <c r="G31" s="1242"/>
      <c r="H31" s="3">
        <f t="shared" si="1"/>
        <v>19</v>
      </c>
      <c r="I31" s="1242" t="s">
        <v>876</v>
      </c>
      <c r="J31" s="1242"/>
      <c r="K31" s="806"/>
      <c r="L31" s="806"/>
      <c r="M31" s="8">
        <f t="shared" si="2"/>
        <v>19</v>
      </c>
      <c r="N31" s="127" t="s">
        <v>928</v>
      </c>
      <c r="O31" s="1242"/>
      <c r="P31" s="348"/>
      <c r="Q31" s="348"/>
      <c r="R31" s="8">
        <f t="shared" si="3"/>
        <v>19</v>
      </c>
      <c r="S31" s="9" t="s">
        <v>871</v>
      </c>
      <c r="T31" s="1242"/>
      <c r="U31" s="701">
        <f>U18+U19+U20-T25-T26-T27</f>
        <v>142468486.87921599</v>
      </c>
      <c r="Z31" s="38">
        <f t="shared" si="5"/>
        <v>19</v>
      </c>
      <c r="AA31" s="9" t="s">
        <v>25</v>
      </c>
      <c r="AB31" s="128"/>
      <c r="AC31" s="292"/>
      <c r="AD31" s="761">
        <f>-AD28-AD29</f>
        <v>-4308880.5580122024</v>
      </c>
      <c r="AE31" s="132"/>
      <c r="AF31" s="132"/>
      <c r="AG31" s="132"/>
      <c r="AH31" s="132"/>
      <c r="AI31" s="132"/>
      <c r="AX31" s="8"/>
      <c r="AY31" s="1242"/>
      <c r="AZ31" s="1242"/>
      <c r="BA31" s="1242"/>
      <c r="BC31" s="8"/>
      <c r="BD31" s="1330"/>
      <c r="BE31" s="1330"/>
      <c r="BF31" s="1330"/>
      <c r="BG31" s="1330"/>
      <c r="BH31" s="334"/>
      <c r="BI31" s="109"/>
      <c r="BJ31" s="1242"/>
      <c r="BK31" s="1242"/>
      <c r="BL31" s="1242"/>
      <c r="BR31" s="1242"/>
      <c r="BS31" s="1242"/>
      <c r="BT31" s="1242"/>
      <c r="BU31" s="1242"/>
      <c r="BV31" s="8">
        <f t="shared" si="12"/>
        <v>19</v>
      </c>
      <c r="BW31" s="314" t="s">
        <v>25</v>
      </c>
      <c r="BX31" s="129"/>
      <c r="BY31" s="802">
        <f>-BY28-BY30</f>
        <v>44411.25</v>
      </c>
      <c r="BZ31" s="3">
        <f t="shared" si="13"/>
        <v>19</v>
      </c>
      <c r="CA31" s="132" t="s">
        <v>369</v>
      </c>
      <c r="CB31" s="132"/>
      <c r="CC31" s="761">
        <f>-CC27-CC29</f>
        <v>-1028316.1308333338</v>
      </c>
      <c r="CD31" s="1242"/>
      <c r="CE31" s="1242"/>
      <c r="CF31" s="1242"/>
      <c r="CG31" s="1242"/>
      <c r="CH31" s="1242"/>
      <c r="CI31" s="1242"/>
      <c r="CJ31" s="1242"/>
      <c r="CK31" s="1242"/>
      <c r="CL31" s="1242"/>
      <c r="CM31" s="1242"/>
      <c r="CN31" s="269"/>
      <c r="CO31" s="1242"/>
      <c r="CP31" s="1242"/>
      <c r="CQ31" s="1242"/>
      <c r="CR31" s="1242"/>
      <c r="CS31" s="8">
        <f t="shared" si="16"/>
        <v>19</v>
      </c>
      <c r="CT31" s="270" t="s">
        <v>594</v>
      </c>
      <c r="CU31" s="270"/>
      <c r="CV31" s="270"/>
      <c r="CW31" s="371">
        <f>SUM(CV29:CV30)</f>
        <v>957318.88222604024</v>
      </c>
      <c r="CX31" s="1242"/>
      <c r="CY31" s="1242"/>
      <c r="CZ31" s="1242"/>
      <c r="DA31" s="1242"/>
      <c r="DB31" s="1242"/>
    </row>
    <row r="32" spans="1:106" s="1310" customFormat="1" ht="14.25" thickTop="1" thickBot="1">
      <c r="A32" s="3">
        <f t="shared" si="0"/>
        <v>21</v>
      </c>
      <c r="B32" s="1242"/>
      <c r="C32" s="1242" t="s">
        <v>744</v>
      </c>
      <c r="D32" s="137"/>
      <c r="E32" s="149">
        <v>15451095.20646596</v>
      </c>
      <c r="F32" s="149">
        <v>951926.52457517385</v>
      </c>
      <c r="G32" s="1242"/>
      <c r="H32" s="3">
        <f t="shared" si="1"/>
        <v>20</v>
      </c>
      <c r="I32" s="79" t="s">
        <v>374</v>
      </c>
      <c r="J32" s="1242"/>
      <c r="K32" s="745">
        <v>-15398</v>
      </c>
      <c r="L32" s="745"/>
      <c r="M32" s="8">
        <f t="shared" si="2"/>
        <v>20</v>
      </c>
      <c r="N32" s="360" t="s">
        <v>829</v>
      </c>
      <c r="O32" s="1242"/>
      <c r="P32" s="348"/>
      <c r="Q32" s="348">
        <v>-75334320</v>
      </c>
      <c r="R32" s="8">
        <f t="shared" si="3"/>
        <v>20</v>
      </c>
      <c r="S32" s="9" t="s">
        <v>872</v>
      </c>
      <c r="T32" s="9"/>
      <c r="U32" s="802">
        <f>-SUM(U30:U31)</f>
        <v>-60471550.681000993</v>
      </c>
      <c r="Z32" s="38"/>
      <c r="AA32" s="1242"/>
      <c r="AB32" s="1242"/>
      <c r="AC32" s="1242"/>
      <c r="AD32" s="1242"/>
      <c r="AE32" s="132"/>
      <c r="AF32" s="132"/>
      <c r="AG32" s="132"/>
      <c r="AH32" s="132"/>
      <c r="AI32" s="132"/>
      <c r="AX32" s="269"/>
      <c r="BB32" s="313"/>
      <c r="BC32" s="1242"/>
      <c r="BD32" s="1330"/>
      <c r="BE32" s="1330"/>
      <c r="BF32" s="1330"/>
      <c r="BG32" s="1330"/>
      <c r="BH32" s="335"/>
      <c r="BI32" s="109"/>
      <c r="BJ32" s="1242"/>
      <c r="BK32" s="1242"/>
      <c r="BL32" s="1242"/>
      <c r="BR32" s="1242"/>
      <c r="BS32" s="1242"/>
      <c r="BT32" s="1242"/>
      <c r="BU32" s="1242"/>
      <c r="BV32" s="8"/>
      <c r="BW32" s="1242"/>
      <c r="BX32" s="1242"/>
      <c r="BY32" s="1242"/>
      <c r="BZ32" s="1242"/>
      <c r="CA32" s="135"/>
      <c r="CB32" s="135"/>
      <c r="CC32" s="135"/>
      <c r="CD32" s="1242"/>
      <c r="CE32" s="1242"/>
      <c r="CF32" s="1242"/>
      <c r="CG32" s="1242"/>
      <c r="CH32" s="1242"/>
      <c r="CI32" s="1242"/>
      <c r="CJ32" s="1242"/>
      <c r="CK32" s="1242"/>
      <c r="CL32" s="1242"/>
      <c r="CM32" s="1242"/>
      <c r="CN32" s="1242"/>
      <c r="CO32" s="1242"/>
      <c r="CP32" s="1242"/>
      <c r="CQ32" s="1242"/>
      <c r="CR32" s="1242"/>
      <c r="CS32" s="8">
        <f t="shared" si="16"/>
        <v>20</v>
      </c>
      <c r="CT32" s="312"/>
      <c r="CU32" s="339"/>
      <c r="CV32" s="339"/>
      <c r="CX32" s="1242"/>
      <c r="CY32" s="1242"/>
      <c r="CZ32" s="1242"/>
      <c r="DA32" s="1242"/>
      <c r="DB32" s="1242"/>
    </row>
    <row r="33" spans="1:106" s="1310" customFormat="1" ht="13.5" thickTop="1">
      <c r="A33" s="3">
        <f t="shared" si="0"/>
        <v>22</v>
      </c>
      <c r="B33" s="1242"/>
      <c r="C33" s="9" t="s">
        <v>745</v>
      </c>
      <c r="D33" s="137"/>
      <c r="E33" s="149">
        <v>-107334.93063307554</v>
      </c>
      <c r="F33" s="149">
        <v>-5741.2829663883895</v>
      </c>
      <c r="G33" s="1242"/>
      <c r="H33" s="3">
        <f t="shared" si="1"/>
        <v>21</v>
      </c>
      <c r="I33" s="1310" t="s">
        <v>979</v>
      </c>
      <c r="J33" s="1242"/>
      <c r="K33" s="800">
        <v>879870.1399999999</v>
      </c>
      <c r="L33" s="745"/>
      <c r="M33" s="8">
        <f t="shared" si="2"/>
        <v>21</v>
      </c>
      <c r="N33" s="360" t="s">
        <v>830</v>
      </c>
      <c r="O33" s="1242"/>
      <c r="P33" s="348"/>
      <c r="Q33" s="348">
        <v>-72142816.260000005</v>
      </c>
      <c r="R33" s="8">
        <f t="shared" si="3"/>
        <v>21</v>
      </c>
      <c r="S33" s="9"/>
      <c r="T33" s="10"/>
      <c r="U33" s="1242"/>
      <c r="Z33" s="38"/>
      <c r="AA33" s="1242"/>
      <c r="AB33" s="1242"/>
      <c r="AC33" s="1242"/>
      <c r="AD33" s="1242"/>
      <c r="AE33" s="132"/>
      <c r="AF33" s="132"/>
      <c r="AG33" s="132"/>
      <c r="AH33" s="132"/>
      <c r="AI33" s="132"/>
      <c r="AX33" s="9"/>
      <c r="BC33" s="1242"/>
      <c r="BD33" s="1330"/>
      <c r="BE33" s="1330"/>
      <c r="BF33" s="1330"/>
      <c r="BG33" s="1330"/>
      <c r="BH33" s="335"/>
      <c r="BI33" s="1242"/>
      <c r="BJ33" s="130"/>
      <c r="BK33" s="130"/>
      <c r="BL33" s="130"/>
      <c r="BR33" s="1242"/>
      <c r="BS33" s="1242"/>
      <c r="BT33" s="1242"/>
      <c r="BU33" s="1242"/>
      <c r="BV33" s="8"/>
      <c r="BW33" s="128"/>
      <c r="BX33" s="128"/>
      <c r="BY33" s="1242"/>
      <c r="BZ33" s="1242"/>
      <c r="CA33" s="1242"/>
      <c r="CB33" s="1242"/>
      <c r="CC33" s="1242"/>
      <c r="CD33" s="1242"/>
      <c r="CE33" s="1242"/>
      <c r="CF33" s="1242"/>
      <c r="CG33" s="1242"/>
      <c r="CH33" s="1242"/>
      <c r="CI33" s="1242"/>
      <c r="CJ33" s="1242"/>
      <c r="CK33" s="1242"/>
      <c r="CL33" s="1242"/>
      <c r="CM33" s="1242"/>
      <c r="CN33" s="1242"/>
      <c r="CO33" s="1242"/>
      <c r="CP33" s="1242"/>
      <c r="CQ33" s="1242"/>
      <c r="CR33" s="1242"/>
      <c r="CS33" s="8">
        <f t="shared" si="16"/>
        <v>21</v>
      </c>
      <c r="CT33" s="697" t="s">
        <v>335</v>
      </c>
      <c r="CU33" s="552"/>
      <c r="CV33" s="552"/>
      <c r="CX33" s="1242"/>
      <c r="CY33" s="1242"/>
      <c r="CZ33" s="1242"/>
      <c r="DA33" s="1242"/>
      <c r="DB33" s="1242"/>
    </row>
    <row r="34" spans="1:106" s="1310" customFormat="1">
      <c r="A34" s="3">
        <f t="shared" si="0"/>
        <v>23</v>
      </c>
      <c r="B34" s="1242"/>
      <c r="C34" s="9" t="s">
        <v>746</v>
      </c>
      <c r="D34" s="137"/>
      <c r="E34" s="149">
        <v>9574375.7594971657</v>
      </c>
      <c r="F34" s="149">
        <v>570154.07647801936</v>
      </c>
      <c r="G34" s="1242"/>
      <c r="H34" s="3">
        <f t="shared" si="1"/>
        <v>22</v>
      </c>
      <c r="I34" s="79"/>
      <c r="J34" s="1242"/>
      <c r="K34" s="745"/>
      <c r="L34" s="745"/>
      <c r="M34" s="8">
        <f t="shared" si="2"/>
        <v>22</v>
      </c>
      <c r="N34" s="360" t="s">
        <v>831</v>
      </c>
      <c r="O34" s="1242"/>
      <c r="P34" s="348"/>
      <c r="Q34" s="348">
        <v>-10768145.59</v>
      </c>
      <c r="R34" s="8">
        <f t="shared" si="3"/>
        <v>22</v>
      </c>
      <c r="S34" s="1242"/>
      <c r="T34" s="1242"/>
      <c r="U34" s="1242"/>
      <c r="Z34" s="38"/>
      <c r="AA34" s="1242"/>
      <c r="AB34" s="1242"/>
      <c r="AC34" s="1242"/>
      <c r="AD34" s="1242"/>
      <c r="AE34" s="132"/>
      <c r="AF34" s="132"/>
      <c r="AG34" s="132"/>
      <c r="AH34" s="132"/>
      <c r="AI34" s="132"/>
      <c r="AX34" s="8"/>
      <c r="BC34" s="8"/>
      <c r="BD34" s="1330"/>
      <c r="BE34" s="1330"/>
      <c r="BF34" s="1330"/>
      <c r="BG34" s="1330"/>
      <c r="BH34" s="335"/>
      <c r="BI34" s="163"/>
      <c r="BJ34" s="109"/>
      <c r="BK34" s="109"/>
      <c r="BL34" s="109"/>
      <c r="BR34" s="1242"/>
      <c r="BS34" s="1242"/>
      <c r="BT34" s="1242"/>
      <c r="BU34" s="1242"/>
      <c r="BV34" s="8"/>
      <c r="BW34" s="1242"/>
      <c r="BX34" s="1242"/>
      <c r="BY34" s="1242"/>
      <c r="BZ34" s="1242"/>
      <c r="CA34" s="1242"/>
      <c r="CB34" s="1242"/>
      <c r="CC34" s="1242"/>
      <c r="CD34" s="1242"/>
      <c r="CE34" s="1242"/>
      <c r="CF34" s="1242"/>
      <c r="CG34" s="1242"/>
      <c r="CH34" s="1242"/>
      <c r="CI34" s="1242"/>
      <c r="CJ34" s="1242"/>
      <c r="CK34" s="1242"/>
      <c r="CL34" s="1242"/>
      <c r="CM34" s="1242"/>
      <c r="CN34" s="1242"/>
      <c r="CO34" s="1242"/>
      <c r="CP34" s="1242"/>
      <c r="CQ34" s="1242"/>
      <c r="CR34" s="1242"/>
      <c r="CS34" s="8">
        <f t="shared" si="16"/>
        <v>22</v>
      </c>
      <c r="CT34" s="549" t="s">
        <v>176</v>
      </c>
      <c r="CU34" s="343"/>
      <c r="CV34" s="343"/>
      <c r="CW34" s="365">
        <f>+CW16+CW26+CW31+CW21</f>
        <v>8089185.6883642301</v>
      </c>
      <c r="CX34" s="1242"/>
      <c r="CY34" s="1242"/>
      <c r="CZ34" s="1242"/>
      <c r="DA34" s="1242"/>
      <c r="DB34" s="1242"/>
    </row>
    <row r="35" spans="1:106" s="1310" customFormat="1" ht="13.5" thickBot="1">
      <c r="A35" s="3">
        <f t="shared" si="0"/>
        <v>24</v>
      </c>
      <c r="B35" s="1242"/>
      <c r="C35" s="1242" t="s">
        <v>747</v>
      </c>
      <c r="D35" s="137"/>
      <c r="E35" s="149">
        <v>3801196.818570435</v>
      </c>
      <c r="F35" s="149">
        <v>212912.63620176539</v>
      </c>
      <c r="G35" s="1242"/>
      <c r="H35" s="3">
        <f t="shared" si="1"/>
        <v>23</v>
      </c>
      <c r="I35" s="1242" t="s">
        <v>375</v>
      </c>
      <c r="J35" s="1242"/>
      <c r="K35" s="745"/>
      <c r="L35" s="745">
        <f>SUM(K32:K33)</f>
        <v>864472.1399999999</v>
      </c>
      <c r="M35" s="8">
        <f t="shared" si="2"/>
        <v>23</v>
      </c>
      <c r="N35" s="381" t="s">
        <v>772</v>
      </c>
      <c r="O35" s="1242"/>
      <c r="P35" s="348"/>
      <c r="Q35" s="348">
        <v>75109150.280000001</v>
      </c>
      <c r="R35" s="8">
        <f t="shared" si="3"/>
        <v>23</v>
      </c>
      <c r="S35" s="1242" t="s">
        <v>1427</v>
      </c>
      <c r="T35" s="1242"/>
      <c r="U35" s="1389">
        <v>-41414322</v>
      </c>
      <c r="Z35" s="38"/>
      <c r="AA35" s="1242"/>
      <c r="AB35" s="1242"/>
      <c r="AC35" s="1242"/>
      <c r="AD35" s="1242"/>
      <c r="AE35" s="134"/>
      <c r="AF35" s="132"/>
      <c r="AG35" s="132"/>
      <c r="AH35" s="132"/>
      <c r="AI35" s="132"/>
      <c r="AX35" s="8"/>
      <c r="BC35" s="8"/>
      <c r="BD35" s="1330"/>
      <c r="BE35" s="1330"/>
      <c r="BF35" s="1330"/>
      <c r="BG35" s="1330"/>
      <c r="BH35" s="335"/>
      <c r="BI35" s="1378"/>
      <c r="BJ35" s="109"/>
      <c r="BK35" s="109"/>
      <c r="BL35" s="109"/>
      <c r="BR35" s="1242"/>
      <c r="BS35" s="1242"/>
      <c r="BT35" s="1242"/>
      <c r="BU35" s="1242"/>
      <c r="BV35" s="8"/>
      <c r="BW35" s="1242"/>
      <c r="BX35" s="1242"/>
      <c r="BY35" s="1242"/>
      <c r="BZ35" s="1242"/>
      <c r="CA35" s="1242"/>
      <c r="CB35" s="1242"/>
      <c r="CC35" s="1242"/>
      <c r="CD35" s="1242"/>
      <c r="CE35" s="1242"/>
      <c r="CF35" s="1242"/>
      <c r="CG35" s="1242"/>
      <c r="CH35" s="1242"/>
      <c r="CI35" s="1242"/>
      <c r="CJ35" s="1242"/>
      <c r="CK35" s="1242"/>
      <c r="CL35" s="1242"/>
      <c r="CM35" s="1242"/>
      <c r="CN35" s="1242"/>
      <c r="CO35" s="112"/>
      <c r="CP35" s="1242"/>
      <c r="CQ35" s="1242"/>
      <c r="CR35" s="1242"/>
      <c r="CS35" s="8">
        <f t="shared" si="16"/>
        <v>23</v>
      </c>
      <c r="CT35" s="549" t="s">
        <v>522</v>
      </c>
      <c r="CU35" s="66">
        <v>0.60560000000000003</v>
      </c>
      <c r="CV35" s="66"/>
      <c r="CW35" s="551">
        <f>+CW34*CU35</f>
        <v>4898810.8528733775</v>
      </c>
      <c r="CX35" s="1242"/>
      <c r="CY35" s="1242"/>
      <c r="CZ35" s="1242"/>
      <c r="DA35" s="1242"/>
      <c r="DB35" s="1242"/>
    </row>
    <row r="36" spans="1:106" s="1310" customFormat="1" ht="13.5" thickTop="1">
      <c r="A36" s="3">
        <f t="shared" si="0"/>
        <v>25</v>
      </c>
      <c r="B36" s="1242"/>
      <c r="C36" s="9" t="s">
        <v>748</v>
      </c>
      <c r="D36" s="137"/>
      <c r="E36" s="149"/>
      <c r="F36" s="149"/>
      <c r="G36" s="1242"/>
      <c r="H36" s="3">
        <f t="shared" si="1"/>
        <v>24</v>
      </c>
      <c r="I36" s="79"/>
      <c r="J36" s="1242"/>
      <c r="K36" s="806"/>
      <c r="L36" s="806"/>
      <c r="M36" s="8">
        <f t="shared" si="2"/>
        <v>24</v>
      </c>
      <c r="N36" s="361" t="s">
        <v>1261</v>
      </c>
      <c r="O36" s="1242"/>
      <c r="P36" s="348"/>
      <c r="Q36" s="348">
        <v>-990957.02</v>
      </c>
      <c r="R36" s="8">
        <f t="shared" si="3"/>
        <v>24</v>
      </c>
      <c r="S36" s="1242"/>
      <c r="T36" s="1242"/>
      <c r="U36" s="142"/>
      <c r="Z36" s="38"/>
      <c r="AA36" s="101"/>
      <c r="AB36" s="130"/>
      <c r="AC36" s="514"/>
      <c r="AD36" s="514"/>
      <c r="AE36" s="1242"/>
      <c r="AF36" s="132"/>
      <c r="AG36" s="132"/>
      <c r="AH36" s="132"/>
      <c r="AI36" s="132"/>
      <c r="AX36" s="8"/>
      <c r="BC36" s="1242"/>
      <c r="BD36" s="1330"/>
      <c r="BE36" s="1330"/>
      <c r="BF36" s="1330"/>
      <c r="BG36" s="1330"/>
      <c r="BH36" s="335"/>
      <c r="BI36" s="1330"/>
      <c r="BJ36" s="109"/>
      <c r="BK36" s="109"/>
      <c r="BL36" s="109"/>
      <c r="BR36" s="1242"/>
      <c r="BS36" s="1242"/>
      <c r="BT36" s="1242"/>
      <c r="BU36" s="1242"/>
      <c r="BV36" s="8"/>
      <c r="BW36" s="128"/>
      <c r="BX36" s="128"/>
      <c r="BY36" s="128"/>
      <c r="BZ36" s="1242"/>
      <c r="CA36" s="1242"/>
      <c r="CB36" s="1242"/>
      <c r="CC36" s="1242"/>
      <c r="CD36" s="1242"/>
      <c r="CE36" s="1242"/>
      <c r="CF36" s="1242"/>
      <c r="CG36" s="1242"/>
      <c r="CH36" s="1242"/>
      <c r="CI36" s="1242"/>
      <c r="CJ36" s="1242"/>
      <c r="CK36" s="1242"/>
      <c r="CL36" s="1242"/>
      <c r="CM36" s="1242"/>
      <c r="CN36" s="1242"/>
      <c r="CO36" s="112"/>
      <c r="CP36" s="1242"/>
      <c r="CQ36" s="1242"/>
      <c r="CR36" s="1242"/>
      <c r="CS36" s="8">
        <f t="shared" si="16"/>
        <v>24</v>
      </c>
      <c r="CT36" s="269" t="s">
        <v>668</v>
      </c>
      <c r="CU36" s="10"/>
      <c r="CV36" s="10"/>
      <c r="CW36" s="161">
        <f>(+CV14+CV24+CV29+CV19)*CU35</f>
        <v>4770159.179687554</v>
      </c>
      <c r="CX36" s="1242"/>
      <c r="CY36" s="1242"/>
      <c r="CZ36" s="1242"/>
      <c r="DA36" s="1242"/>
      <c r="DB36" s="1242"/>
    </row>
    <row r="37" spans="1:106" s="1310" customFormat="1">
      <c r="A37" s="3">
        <f t="shared" si="0"/>
        <v>26</v>
      </c>
      <c r="B37" s="1242"/>
      <c r="C37" s="9" t="s">
        <v>749</v>
      </c>
      <c r="D37" s="137"/>
      <c r="E37" s="149">
        <v>3151344.2661390305</v>
      </c>
      <c r="F37" s="149">
        <v>172414.33919002116</v>
      </c>
      <c r="G37" s="1242"/>
      <c r="H37" s="3">
        <f t="shared" si="1"/>
        <v>25</v>
      </c>
      <c r="I37" s="9" t="s">
        <v>1135</v>
      </c>
      <c r="J37" s="1242"/>
      <c r="K37" s="806"/>
      <c r="L37" s="806"/>
      <c r="M37" s="8">
        <f t="shared" si="2"/>
        <v>25</v>
      </c>
      <c r="N37" s="361" t="s">
        <v>1262</v>
      </c>
      <c r="O37" s="112"/>
      <c r="P37" s="348"/>
      <c r="Q37" s="348">
        <v>-53247</v>
      </c>
      <c r="R37" s="8">
        <f t="shared" si="3"/>
        <v>25</v>
      </c>
      <c r="S37" s="1068" t="s">
        <v>477</v>
      </c>
      <c r="T37" s="1242"/>
      <c r="U37" s="1242"/>
      <c r="Z37" s="38"/>
      <c r="AA37" s="112"/>
      <c r="AB37" s="151"/>
      <c r="AC37" s="112"/>
      <c r="AD37" s="132"/>
      <c r="AE37" s="128"/>
      <c r="AF37" s="132"/>
      <c r="AG37" s="132"/>
      <c r="AH37" s="132"/>
      <c r="AI37" s="132"/>
      <c r="AX37" s="8"/>
      <c r="AY37" s="1330"/>
      <c r="AZ37" s="1330"/>
      <c r="BA37" s="1330"/>
      <c r="BB37" s="1330"/>
      <c r="BC37" s="1242"/>
      <c r="BD37" s="1330"/>
      <c r="BE37" s="1330"/>
      <c r="BF37" s="1330"/>
      <c r="BG37" s="1330"/>
      <c r="BH37" s="335"/>
      <c r="BI37" s="1330"/>
      <c r="BJ37" s="1242"/>
      <c r="BK37" s="1242"/>
      <c r="BL37" s="1242"/>
      <c r="BR37" s="1242"/>
      <c r="BS37" s="1242"/>
      <c r="BT37" s="1242"/>
      <c r="BU37" s="1242"/>
      <c r="BV37" s="8"/>
      <c r="BW37" s="128"/>
      <c r="BX37" s="128"/>
      <c r="BY37" s="128"/>
      <c r="BZ37" s="1242"/>
      <c r="CA37" s="1242"/>
      <c r="CB37" s="1242"/>
      <c r="CC37" s="1242"/>
      <c r="CD37" s="135"/>
      <c r="CE37" s="135"/>
      <c r="CF37" s="135"/>
      <c r="CG37" s="135"/>
      <c r="CH37" s="135"/>
      <c r="CI37" s="135"/>
      <c r="CJ37" s="135"/>
      <c r="CK37" s="135"/>
      <c r="CL37" s="1242"/>
      <c r="CM37" s="1242"/>
      <c r="CN37" s="1242"/>
      <c r="CO37" s="112"/>
      <c r="CP37" s="1242"/>
      <c r="CQ37" s="1242"/>
      <c r="CR37" s="1242"/>
      <c r="CS37" s="8">
        <f t="shared" si="16"/>
        <v>25</v>
      </c>
      <c r="CT37" s="271" t="s">
        <v>39</v>
      </c>
      <c r="CU37" s="553"/>
      <c r="CV37" s="553"/>
      <c r="CW37" s="55">
        <f>CW35-CW36</f>
        <v>128651.67318582349</v>
      </c>
      <c r="CX37" s="1242"/>
      <c r="CY37" s="1242"/>
      <c r="CZ37" s="1242"/>
      <c r="DA37" s="1242"/>
      <c r="DB37" s="1242"/>
    </row>
    <row r="38" spans="1:106" s="1310" customFormat="1">
      <c r="A38" s="3">
        <f t="shared" si="0"/>
        <v>27</v>
      </c>
      <c r="B38" s="1242"/>
      <c r="C38" s="1242" t="s">
        <v>750</v>
      </c>
      <c r="D38" s="137"/>
      <c r="E38" s="150"/>
      <c r="F38" s="150"/>
      <c r="G38" s="1242"/>
      <c r="H38" s="3">
        <f t="shared" si="1"/>
        <v>26</v>
      </c>
      <c r="I38" s="79" t="s">
        <v>1260</v>
      </c>
      <c r="J38" s="1242"/>
      <c r="K38" s="745">
        <v>-20001.479999999516</v>
      </c>
      <c r="L38" s="806"/>
      <c r="M38" s="8">
        <f t="shared" si="2"/>
        <v>26</v>
      </c>
      <c r="N38" s="361" t="s">
        <v>1263</v>
      </c>
      <c r="O38" s="112"/>
      <c r="P38" s="348"/>
      <c r="Q38" s="348">
        <v>-16138.7</v>
      </c>
      <c r="S38" s="1242" t="s">
        <v>478</v>
      </c>
      <c r="T38" s="1378"/>
      <c r="U38" s="1378"/>
      <c r="Z38" s="38"/>
      <c r="AA38" s="442"/>
      <c r="AB38" s="112"/>
      <c r="AC38" s="151"/>
      <c r="AD38" s="132"/>
      <c r="AE38" s="151"/>
      <c r="AF38" s="134"/>
      <c r="AG38" s="134"/>
      <c r="AH38" s="134"/>
      <c r="AI38" s="134"/>
      <c r="AX38" s="8"/>
      <c r="AY38" s="1330"/>
      <c r="AZ38" s="1330"/>
      <c r="BA38" s="1330"/>
      <c r="BB38" s="1330"/>
      <c r="BC38" s="1242"/>
      <c r="BD38" s="1242"/>
      <c r="BE38" s="1242"/>
      <c r="BF38" s="1242"/>
      <c r="BG38" s="1242"/>
      <c r="BH38" s="109"/>
      <c r="BI38" s="334"/>
      <c r="BJ38" s="163"/>
      <c r="BK38" s="163"/>
      <c r="BL38" s="163"/>
      <c r="BR38" s="1242"/>
      <c r="BS38" s="1242"/>
      <c r="BT38" s="1242"/>
      <c r="BU38" s="1242"/>
      <c r="BV38" s="8"/>
      <c r="BW38" s="128"/>
      <c r="BX38" s="128"/>
      <c r="BY38" s="128"/>
      <c r="BZ38" s="1242"/>
      <c r="CA38" s="1242"/>
      <c r="CB38" s="1242"/>
      <c r="CC38" s="1242"/>
      <c r="CD38" s="132"/>
      <c r="CE38" s="132"/>
      <c r="CF38" s="132"/>
      <c r="CG38" s="132"/>
      <c r="CH38" s="132"/>
      <c r="CI38" s="132"/>
      <c r="CJ38" s="132"/>
      <c r="CK38" s="132"/>
      <c r="CL38" s="1242"/>
      <c r="CM38" s="1242"/>
      <c r="CN38" s="1242"/>
      <c r="CO38" s="112"/>
      <c r="CP38" s="1242"/>
      <c r="CQ38" s="1242"/>
      <c r="CR38" s="1242"/>
      <c r="CS38" s="8">
        <f t="shared" si="16"/>
        <v>26</v>
      </c>
      <c r="CT38" s="312"/>
      <c r="CU38" s="343"/>
      <c r="CV38" s="343"/>
      <c r="CW38" s="551"/>
      <c r="CX38" s="1242"/>
      <c r="CY38" s="1242"/>
      <c r="CZ38" s="1242"/>
      <c r="DA38" s="1242"/>
      <c r="DB38" s="1242"/>
    </row>
    <row r="39" spans="1:106" s="1310" customFormat="1">
      <c r="A39" s="3">
        <f t="shared" si="0"/>
        <v>28</v>
      </c>
      <c r="B39" s="1242"/>
      <c r="C39" s="1242" t="s">
        <v>751</v>
      </c>
      <c r="D39" s="137"/>
      <c r="E39" s="150"/>
      <c r="F39" s="150"/>
      <c r="G39" s="1242"/>
      <c r="H39" s="3">
        <f t="shared" si="1"/>
        <v>27</v>
      </c>
      <c r="I39" s="79" t="s">
        <v>290</v>
      </c>
      <c r="J39" s="1242"/>
      <c r="K39" s="745">
        <f>-K18</f>
        <v>1936015</v>
      </c>
      <c r="L39" s="806"/>
      <c r="M39" s="8">
        <f t="shared" si="2"/>
        <v>27</v>
      </c>
      <c r="N39" s="361" t="s">
        <v>693</v>
      </c>
      <c r="O39" s="112"/>
      <c r="P39" s="348"/>
      <c r="Q39" s="348">
        <v>-21591916</v>
      </c>
      <c r="S39" s="1242" t="s">
        <v>1399</v>
      </c>
      <c r="T39" s="514"/>
      <c r="U39" s="514"/>
      <c r="Z39" s="38"/>
      <c r="AA39" s="112"/>
      <c r="AB39" s="150"/>
      <c r="AC39" s="150"/>
      <c r="AD39" s="150"/>
      <c r="AE39" s="151"/>
      <c r="AF39" s="1242"/>
      <c r="AG39" s="1242"/>
      <c r="AH39" s="1242"/>
      <c r="AI39" s="1242"/>
      <c r="AX39" s="8"/>
      <c r="AY39" s="1330"/>
      <c r="AZ39" s="1330"/>
      <c r="BA39" s="1330"/>
      <c r="BB39" s="1330"/>
      <c r="BC39" s="34"/>
      <c r="BD39" s="1242"/>
      <c r="BE39" s="1242"/>
      <c r="BF39" s="1242"/>
      <c r="BG39" s="1242"/>
      <c r="BH39" s="109"/>
      <c r="BI39" s="335"/>
      <c r="BJ39" s="1378"/>
      <c r="BK39" s="1378"/>
      <c r="BL39" s="1378"/>
      <c r="BR39" s="1242"/>
      <c r="BS39" s="1242"/>
      <c r="BT39" s="1242"/>
      <c r="BU39" s="1242"/>
      <c r="BV39" s="8"/>
      <c r="BW39" s="128"/>
      <c r="BX39" s="128"/>
      <c r="BY39" s="128"/>
      <c r="BZ39" s="1242"/>
      <c r="CA39" s="1242"/>
      <c r="CB39" s="1242"/>
      <c r="CC39" s="1242"/>
      <c r="CD39" s="132"/>
      <c r="CE39" s="132"/>
      <c r="CF39" s="132"/>
      <c r="CG39" s="132"/>
      <c r="CH39" s="132"/>
      <c r="CI39" s="132"/>
      <c r="CJ39" s="132"/>
      <c r="CK39" s="132"/>
      <c r="CL39" s="1242"/>
      <c r="CM39" s="1242"/>
      <c r="CN39" s="1242"/>
      <c r="CO39" s="112"/>
      <c r="CP39" s="1242"/>
      <c r="CQ39" s="1242"/>
      <c r="CR39" s="1242"/>
      <c r="CS39" s="8">
        <f t="shared" si="16"/>
        <v>27</v>
      </c>
      <c r="CT39" s="269" t="s">
        <v>23</v>
      </c>
      <c r="CU39" s="10">
        <f>FIT</f>
        <v>0.35</v>
      </c>
      <c r="CV39" s="10"/>
      <c r="CW39" s="1383">
        <f>ROUND(-CW37*CU39,0)</f>
        <v>-45028</v>
      </c>
      <c r="CX39" s="1242"/>
      <c r="CY39" s="1242"/>
      <c r="CZ39" s="1242"/>
      <c r="DA39" s="8"/>
      <c r="DB39" s="1242"/>
    </row>
    <row r="40" spans="1:106" s="1310" customFormat="1" ht="13.5" thickBot="1">
      <c r="A40" s="3">
        <f t="shared" si="0"/>
        <v>29</v>
      </c>
      <c r="B40" s="1242"/>
      <c r="C40" s="1242" t="s">
        <v>752</v>
      </c>
      <c r="D40" s="137"/>
      <c r="E40" s="138">
        <v>88247.908884029835</v>
      </c>
      <c r="F40" s="138">
        <v>3093</v>
      </c>
      <c r="G40" s="124"/>
      <c r="H40" s="3">
        <f t="shared" si="1"/>
        <v>28</v>
      </c>
      <c r="I40" s="79" t="s">
        <v>980</v>
      </c>
      <c r="J40" s="170"/>
      <c r="K40" s="800">
        <f>-K33</f>
        <v>-879870.1399999999</v>
      </c>
      <c r="L40" s="806"/>
      <c r="M40" s="8">
        <f t="shared" si="2"/>
        <v>28</v>
      </c>
      <c r="N40" s="112" t="s">
        <v>247</v>
      </c>
      <c r="O40" s="112"/>
      <c r="P40" s="348"/>
      <c r="Q40" s="420">
        <f>SUM(Q32:Q39)</f>
        <v>-105788390.28999999</v>
      </c>
      <c r="Z40" s="38"/>
      <c r="AA40" s="112"/>
      <c r="AB40" s="112"/>
      <c r="AC40" s="112"/>
      <c r="AD40" s="112"/>
      <c r="AE40" s="134"/>
      <c r="AF40" s="128"/>
      <c r="AG40" s="128"/>
      <c r="AH40" s="128"/>
      <c r="AI40" s="128"/>
      <c r="AX40" s="8"/>
      <c r="BC40" s="34"/>
      <c r="BD40" s="1242"/>
      <c r="BE40" s="1242"/>
      <c r="BF40" s="1242"/>
      <c r="BG40" s="1242"/>
      <c r="BH40" s="109"/>
      <c r="BI40" s="335"/>
      <c r="BJ40" s="1330"/>
      <c r="BK40" s="1330"/>
      <c r="BL40" s="1330"/>
      <c r="BR40" s="1242"/>
      <c r="BS40" s="1242"/>
      <c r="BT40" s="1242"/>
      <c r="BU40" s="1242"/>
      <c r="BV40" s="8"/>
      <c r="BW40" s="1242"/>
      <c r="BX40" s="1242"/>
      <c r="BY40" s="1242"/>
      <c r="BZ40" s="1242"/>
      <c r="CA40" s="1242"/>
      <c r="CB40" s="1242"/>
      <c r="CC40" s="1242"/>
      <c r="CD40" s="135"/>
      <c r="CE40" s="135"/>
      <c r="CF40" s="135"/>
      <c r="CG40" s="135"/>
      <c r="CH40" s="135"/>
      <c r="CI40" s="135"/>
      <c r="CJ40" s="135"/>
      <c r="CK40" s="135"/>
      <c r="CL40" s="1242"/>
      <c r="CM40" s="1242"/>
      <c r="CN40" s="1242"/>
      <c r="CO40" s="112"/>
      <c r="CP40" s="99"/>
      <c r="CQ40" s="99"/>
      <c r="CR40" s="1242"/>
      <c r="CS40" s="8">
        <f t="shared" si="16"/>
        <v>28</v>
      </c>
      <c r="CT40" s="269" t="s">
        <v>369</v>
      </c>
      <c r="CU40" s="343"/>
      <c r="CV40" s="343"/>
      <c r="CW40" s="1384">
        <f>-CW37-CW39</f>
        <v>-83623.673185823485</v>
      </c>
      <c r="CX40" s="1242"/>
      <c r="CY40" s="1242"/>
      <c r="CZ40" s="1242"/>
      <c r="DA40" s="8"/>
      <c r="DB40" s="1242"/>
    </row>
    <row r="41" spans="1:106" s="1310" customFormat="1" ht="13.5" thickTop="1">
      <c r="A41" s="3">
        <f t="shared" si="0"/>
        <v>30</v>
      </c>
      <c r="B41" s="1242" t="s">
        <v>52</v>
      </c>
      <c r="C41" s="1242"/>
      <c r="D41" s="1242"/>
      <c r="E41" s="128">
        <f>SUM(E29:E40)</f>
        <v>234916406.48292115</v>
      </c>
      <c r="F41" s="129"/>
      <c r="G41" s="129">
        <f>SUM(F29:F40)</f>
        <v>20896426.041821491</v>
      </c>
      <c r="H41" s="3">
        <f t="shared" si="1"/>
        <v>29</v>
      </c>
      <c r="I41" s="79"/>
      <c r="J41" s="170"/>
      <c r="K41" s="806"/>
      <c r="L41" s="806"/>
      <c r="M41" s="8">
        <f t="shared" si="2"/>
        <v>29</v>
      </c>
      <c r="N41" s="112"/>
      <c r="O41" s="112"/>
      <c r="P41" s="366"/>
      <c r="Q41" s="366"/>
      <c r="Z41" s="38"/>
      <c r="AA41" s="112"/>
      <c r="AB41" s="151"/>
      <c r="AC41" s="151"/>
      <c r="AD41" s="134"/>
      <c r="AE41" s="112"/>
      <c r="AF41" s="151"/>
      <c r="AG41" s="151"/>
      <c r="AH41" s="151"/>
      <c r="AI41" s="151"/>
      <c r="AX41" s="8"/>
      <c r="BC41" s="34"/>
      <c r="BD41" s="1242"/>
      <c r="BE41" s="1242"/>
      <c r="BF41" s="1242"/>
      <c r="BG41" s="1242"/>
      <c r="BH41" s="109"/>
      <c r="BI41" s="335"/>
      <c r="BJ41" s="1330"/>
      <c r="BK41" s="1330"/>
      <c r="BL41" s="1330"/>
      <c r="BR41" s="1242"/>
      <c r="BS41" s="1242"/>
      <c r="BT41" s="1242"/>
      <c r="BU41" s="1242"/>
      <c r="BV41" s="8"/>
      <c r="BW41" s="1242"/>
      <c r="BX41" s="1242"/>
      <c r="BY41" s="1242"/>
      <c r="BZ41" s="1242"/>
      <c r="CA41" s="1242"/>
      <c r="CB41" s="1242"/>
      <c r="CC41" s="1242"/>
      <c r="CD41" s="1242"/>
      <c r="CE41" s="1242"/>
      <c r="CF41" s="1242"/>
      <c r="CG41" s="1242"/>
      <c r="CH41" s="1242"/>
      <c r="CI41" s="1242"/>
      <c r="CJ41" s="1242"/>
      <c r="CK41" s="1242"/>
      <c r="CL41" s="1242"/>
      <c r="CM41" s="1242"/>
      <c r="CN41" s="1242"/>
      <c r="CO41" s="112"/>
      <c r="CP41" s="1242"/>
      <c r="CQ41" s="99"/>
      <c r="CR41" s="165"/>
      <c r="CS41" s="1242"/>
      <c r="CT41" s="1242"/>
      <c r="CU41" s="1242"/>
      <c r="CV41" s="1242"/>
      <c r="CW41" s="1242"/>
      <c r="CX41" s="1242"/>
      <c r="CY41" s="1242"/>
      <c r="CZ41" s="1242"/>
      <c r="DA41" s="8"/>
      <c r="DB41" s="1242"/>
    </row>
    <row r="42" spans="1:106" s="1310" customFormat="1">
      <c r="A42" s="3">
        <f t="shared" si="0"/>
        <v>31</v>
      </c>
      <c r="B42" s="1379"/>
      <c r="C42" s="1379"/>
      <c r="D42" s="163"/>
      <c r="E42" s="163"/>
      <c r="F42" s="133"/>
      <c r="G42" s="1242"/>
      <c r="H42" s="3">
        <f t="shared" si="1"/>
        <v>30</v>
      </c>
      <c r="I42" s="1242" t="s">
        <v>1083</v>
      </c>
      <c r="J42" s="170"/>
      <c r="K42" s="806"/>
      <c r="L42" s="800">
        <f>SUM(K38:K41)</f>
        <v>1036143.3800000006</v>
      </c>
      <c r="M42" s="8">
        <f t="shared" si="2"/>
        <v>30</v>
      </c>
      <c r="N42" s="112" t="s">
        <v>929</v>
      </c>
      <c r="O42" s="112"/>
      <c r="P42" s="366"/>
      <c r="Q42" s="366">
        <f>-Q23-Q29-Q40</f>
        <v>-471453.87095952034</v>
      </c>
      <c r="Z42" s="38"/>
      <c r="AA42" s="112"/>
      <c r="AB42" s="112"/>
      <c r="AC42" s="112"/>
      <c r="AD42" s="112"/>
      <c r="AE42" s="112"/>
      <c r="AF42" s="151"/>
      <c r="AG42" s="151"/>
      <c r="AH42" s="151"/>
      <c r="AI42" s="151"/>
      <c r="AX42" s="8"/>
      <c r="BC42" s="34"/>
      <c r="BD42" s="1242"/>
      <c r="BE42" s="1242"/>
      <c r="BF42" s="1242"/>
      <c r="BG42" s="1242"/>
      <c r="BH42" s="109"/>
      <c r="BI42" s="335"/>
      <c r="BJ42" s="334"/>
      <c r="BK42" s="334"/>
      <c r="BL42" s="334"/>
      <c r="BR42" s="1242"/>
      <c r="BS42" s="1242"/>
      <c r="BT42" s="1242"/>
      <c r="BU42" s="1242"/>
      <c r="BV42" s="8"/>
      <c r="BW42" s="1242"/>
      <c r="BX42" s="1242"/>
      <c r="BY42" s="1242"/>
      <c r="BZ42" s="1242"/>
      <c r="CA42" s="1242"/>
      <c r="CB42" s="1242"/>
      <c r="CC42" s="1242"/>
      <c r="CD42" s="1242"/>
      <c r="CE42" s="1242"/>
      <c r="CF42" s="1242"/>
      <c r="CG42" s="1242"/>
      <c r="CH42" s="1242"/>
      <c r="CI42" s="1242"/>
      <c r="CJ42" s="1242"/>
      <c r="CK42" s="1242"/>
      <c r="CL42" s="1242"/>
      <c r="CM42" s="1242"/>
      <c r="CN42" s="1242"/>
      <c r="CO42" s="112"/>
      <c r="CP42" s="1242"/>
      <c r="CQ42" s="99"/>
      <c r="CR42" s="165"/>
      <c r="CS42" s="269"/>
      <c r="CT42" s="1242"/>
      <c r="CU42" s="1242"/>
      <c r="CV42" s="1242"/>
      <c r="CW42" s="1242"/>
      <c r="CX42" s="1242"/>
      <c r="CY42" s="1242"/>
      <c r="CZ42" s="1242"/>
      <c r="DA42" s="1242"/>
      <c r="DB42" s="1242"/>
    </row>
    <row r="43" spans="1:106" s="1310" customFormat="1">
      <c r="A43" s="3">
        <f t="shared" si="0"/>
        <v>32</v>
      </c>
      <c r="B43" s="9" t="s">
        <v>53</v>
      </c>
      <c r="C43" s="9"/>
      <c r="D43" s="9"/>
      <c r="E43" s="804">
        <f>+'JHS-22'!M13</f>
        <v>4.444E-3</v>
      </c>
      <c r="F43" s="432">
        <f>ROUND(G41*E43,0)</f>
        <v>92864</v>
      </c>
      <c r="G43" s="128"/>
      <c r="H43" s="3">
        <f t="shared" si="1"/>
        <v>31</v>
      </c>
      <c r="I43" s="112"/>
      <c r="J43" s="112"/>
      <c r="K43" s="806"/>
      <c r="L43" s="806"/>
      <c r="M43" s="8">
        <f t="shared" si="2"/>
        <v>31</v>
      </c>
      <c r="N43" s="112" t="s">
        <v>31</v>
      </c>
      <c r="O43" s="112"/>
      <c r="P43" s="366"/>
      <c r="Q43" s="366">
        <f>Q42*0.35</f>
        <v>-165008.85483583211</v>
      </c>
      <c r="Z43" s="8"/>
      <c r="AA43" s="1242"/>
      <c r="AB43" s="1242"/>
      <c r="AC43" s="1242"/>
      <c r="AD43" s="1242"/>
      <c r="AE43" s="112"/>
      <c r="AF43" s="134"/>
      <c r="AG43" s="134"/>
      <c r="AH43" s="134"/>
      <c r="AI43" s="134"/>
      <c r="AX43" s="8"/>
      <c r="BC43" s="1242"/>
      <c r="BD43" s="1242"/>
      <c r="BE43" s="1242"/>
      <c r="BF43" s="1242"/>
      <c r="BG43" s="1242"/>
      <c r="BH43" s="109"/>
      <c r="BI43" s="335"/>
      <c r="BJ43" s="335"/>
      <c r="BK43" s="335"/>
      <c r="BL43" s="335"/>
      <c r="BR43" s="1242"/>
      <c r="BS43" s="1242"/>
      <c r="BT43" s="1242"/>
      <c r="BU43" s="1242"/>
      <c r="BV43" s="8"/>
      <c r="BW43" s="128"/>
      <c r="BX43" s="128"/>
      <c r="BY43" s="128"/>
      <c r="BZ43" s="1242"/>
      <c r="CA43" s="1242"/>
      <c r="CB43" s="1242"/>
      <c r="CC43" s="1242"/>
      <c r="CD43" s="1242"/>
      <c r="CE43" s="1242"/>
      <c r="CF43" s="1242"/>
      <c r="CG43" s="1242"/>
      <c r="CH43" s="1242"/>
      <c r="CI43" s="1242"/>
      <c r="CJ43" s="1242"/>
      <c r="CK43" s="1242"/>
      <c r="CL43" s="1242"/>
      <c r="CM43" s="1242"/>
      <c r="CN43" s="1242"/>
      <c r="CO43" s="112"/>
      <c r="CP43" s="112"/>
      <c r="CQ43" s="112"/>
      <c r="CR43" s="1242"/>
      <c r="CS43" s="1242"/>
      <c r="CT43" s="1242"/>
      <c r="CU43" s="1242"/>
      <c r="CV43" s="1242"/>
      <c r="CW43" s="1242"/>
      <c r="CX43" s="1242"/>
      <c r="CY43" s="1242"/>
      <c r="CZ43" s="1242"/>
      <c r="DA43" s="1242"/>
      <c r="DB43" s="1242"/>
    </row>
    <row r="44" spans="1:106" s="1310" customFormat="1" ht="13.5" thickBot="1">
      <c r="A44" s="3">
        <f t="shared" si="0"/>
        <v>33</v>
      </c>
      <c r="B44" s="9" t="s">
        <v>54</v>
      </c>
      <c r="C44" s="9"/>
      <c r="D44" s="9"/>
      <c r="E44" s="804">
        <f>+'JHS-22'!M14</f>
        <v>2E-3</v>
      </c>
      <c r="F44" s="433">
        <f>ROUND(G41*E44,0)</f>
        <v>41793</v>
      </c>
      <c r="G44" s="128"/>
      <c r="H44" s="3">
        <f t="shared" si="1"/>
        <v>32</v>
      </c>
      <c r="I44" s="1242" t="s">
        <v>1084</v>
      </c>
      <c r="J44" s="112"/>
      <c r="K44" s="806"/>
      <c r="L44" s="745">
        <f>SUM(L15:L43)</f>
        <v>-5438084.0876134504</v>
      </c>
      <c r="M44" s="8">
        <f t="shared" si="2"/>
        <v>32</v>
      </c>
      <c r="N44" s="112" t="s">
        <v>369</v>
      </c>
      <c r="O44" s="112"/>
      <c r="P44" s="348"/>
      <c r="Q44" s="802">
        <f>Q42-Q43</f>
        <v>-306445.0161236882</v>
      </c>
      <c r="Z44" s="1242"/>
      <c r="AA44" s="1242"/>
      <c r="AB44" s="1242"/>
      <c r="AC44" s="1242"/>
      <c r="AD44" s="1242"/>
      <c r="AE44" s="150"/>
      <c r="AF44" s="112"/>
      <c r="AG44" s="112"/>
      <c r="AH44" s="112"/>
      <c r="AI44" s="112"/>
      <c r="AX44" s="8"/>
      <c r="BC44" s="1242"/>
      <c r="BD44" s="1242"/>
      <c r="BE44" s="1242"/>
      <c r="BF44" s="1242"/>
      <c r="BG44" s="1242"/>
      <c r="BH44" s="109"/>
      <c r="BI44" s="335"/>
      <c r="BJ44" s="335"/>
      <c r="BK44" s="335"/>
      <c r="BL44" s="335"/>
      <c r="BR44" s="1242"/>
      <c r="BS44" s="1242"/>
      <c r="BT44" s="1242"/>
      <c r="BU44" s="1242"/>
      <c r="BV44" s="8"/>
      <c r="BW44" s="128"/>
      <c r="BX44" s="128"/>
      <c r="BY44" s="128"/>
      <c r="BZ44" s="1242"/>
      <c r="CA44" s="1242"/>
      <c r="CB44" s="1242"/>
      <c r="CC44" s="1242"/>
      <c r="CD44" s="1242"/>
      <c r="CE44" s="1242"/>
      <c r="CF44" s="1242"/>
      <c r="CG44" s="1242"/>
      <c r="CH44" s="1242"/>
      <c r="CI44" s="1242"/>
      <c r="CJ44" s="1242"/>
      <c r="CK44" s="1242"/>
      <c r="CL44" s="1242"/>
      <c r="CM44" s="1242"/>
      <c r="CN44" s="1242"/>
      <c r="CO44" s="112"/>
      <c r="CP44" s="385"/>
      <c r="CQ44" s="385"/>
      <c r="CR44" s="1242"/>
      <c r="CS44" s="1242"/>
      <c r="CT44" s="1242"/>
      <c r="CU44" s="1242"/>
      <c r="CV44" s="1242"/>
      <c r="CW44" s="1242"/>
      <c r="CX44" s="1242"/>
      <c r="CY44" s="1242"/>
      <c r="CZ44" s="1242"/>
      <c r="DA44" s="1242"/>
      <c r="DB44" s="1242"/>
    </row>
    <row r="45" spans="1:106" s="1310" customFormat="1" ht="13.5" thickTop="1">
      <c r="A45" s="3">
        <v>31</v>
      </c>
      <c r="B45" s="43" t="s">
        <v>17</v>
      </c>
      <c r="C45" s="9"/>
      <c r="D45" s="9"/>
      <c r="E45" s="804"/>
      <c r="F45" s="132"/>
      <c r="G45" s="434">
        <f>SUM(F43:F44)</f>
        <v>134657</v>
      </c>
      <c r="H45" s="3">
        <f t="shared" si="1"/>
        <v>33</v>
      </c>
      <c r="I45" s="1242"/>
      <c r="J45" s="1242"/>
      <c r="K45" s="806"/>
      <c r="L45" s="745"/>
      <c r="Z45" s="1242"/>
      <c r="AA45" s="1242"/>
      <c r="AB45" s="1242"/>
      <c r="AC45" s="1242"/>
      <c r="AD45" s="1242"/>
      <c r="AE45" s="150"/>
      <c r="AF45" s="112"/>
      <c r="AG45" s="112"/>
      <c r="AH45" s="112"/>
      <c r="AI45" s="112"/>
      <c r="AX45" s="8"/>
      <c r="BC45" s="1242"/>
      <c r="BD45" s="1242"/>
      <c r="BE45" s="1242"/>
      <c r="BF45" s="1242"/>
      <c r="BG45" s="1242"/>
      <c r="BH45" s="109"/>
      <c r="BI45" s="109"/>
      <c r="BJ45" s="335"/>
      <c r="BK45" s="335"/>
      <c r="BL45" s="335"/>
      <c r="BR45" s="1242"/>
      <c r="BS45" s="1242"/>
      <c r="BT45" s="1242"/>
      <c r="BU45" s="1242"/>
      <c r="BV45" s="8"/>
      <c r="BW45" s="128"/>
      <c r="BX45" s="128"/>
      <c r="BY45" s="128"/>
      <c r="BZ45" s="1242"/>
      <c r="CA45" s="1242"/>
      <c r="CB45" s="1242"/>
      <c r="CC45" s="1242"/>
      <c r="CD45" s="1242"/>
      <c r="CE45" s="1242"/>
      <c r="CF45" s="1242"/>
      <c r="CG45" s="1242"/>
      <c r="CH45" s="1242"/>
      <c r="CI45" s="1242"/>
      <c r="CJ45" s="1242"/>
      <c r="CK45" s="1242"/>
      <c r="CL45" s="1242"/>
      <c r="CM45" s="1242"/>
      <c r="CN45" s="1242"/>
      <c r="CO45" s="112"/>
      <c r="CP45" s="112"/>
      <c r="CQ45" s="112"/>
      <c r="CR45" s="1242"/>
      <c r="CS45" s="1242"/>
      <c r="CT45" s="1242"/>
      <c r="CU45" s="1242"/>
      <c r="CV45" s="1242"/>
      <c r="CW45" s="1242"/>
      <c r="CX45" s="1242"/>
      <c r="CY45" s="1242"/>
      <c r="CZ45" s="1242"/>
      <c r="DA45" s="1242"/>
      <c r="DB45" s="1242"/>
    </row>
    <row r="46" spans="1:106" s="1310" customFormat="1">
      <c r="A46" s="3">
        <f t="shared" ref="A46:A53" si="20">+A45+1</f>
        <v>32</v>
      </c>
      <c r="B46" s="9"/>
      <c r="C46" s="9"/>
      <c r="D46" s="9"/>
      <c r="E46" s="804"/>
      <c r="F46" s="139"/>
      <c r="G46" s="128"/>
      <c r="H46" s="3">
        <f t="shared" si="1"/>
        <v>34</v>
      </c>
      <c r="I46" s="1242" t="s">
        <v>481</v>
      </c>
      <c r="J46" s="1242"/>
      <c r="K46" s="806"/>
      <c r="L46" s="745"/>
      <c r="Z46" s="1242"/>
      <c r="AA46" s="1242"/>
      <c r="AB46" s="1242"/>
      <c r="AC46" s="1242"/>
      <c r="AD46" s="1242"/>
      <c r="AE46" s="112"/>
      <c r="AF46" s="112"/>
      <c r="AG46" s="112"/>
      <c r="AH46" s="112"/>
      <c r="AI46" s="112"/>
      <c r="AX46" s="8"/>
      <c r="BC46" s="91"/>
      <c r="BD46" s="1242"/>
      <c r="BE46" s="1242"/>
      <c r="BF46" s="1242"/>
      <c r="BG46" s="1242"/>
      <c r="BH46" s="109"/>
      <c r="BI46" s="109"/>
      <c r="BJ46" s="335"/>
      <c r="BK46" s="335"/>
      <c r="BL46" s="335"/>
      <c r="BR46" s="1242"/>
      <c r="BS46" s="1242"/>
      <c r="BT46" s="1242"/>
      <c r="BU46" s="1242"/>
      <c r="BV46" s="8"/>
      <c r="BW46" s="128"/>
      <c r="BX46" s="128"/>
      <c r="BY46" s="128"/>
      <c r="BZ46" s="1242"/>
      <c r="CA46" s="1242"/>
      <c r="CB46" s="1242"/>
      <c r="CC46" s="1242"/>
      <c r="CD46" s="1242"/>
      <c r="CE46" s="1242"/>
      <c r="CF46" s="1242"/>
      <c r="CG46" s="1242"/>
      <c r="CH46" s="1242"/>
      <c r="CI46" s="1242"/>
      <c r="CJ46" s="1242"/>
      <c r="CK46" s="1242"/>
      <c r="CL46" s="1242"/>
      <c r="CM46" s="1242"/>
      <c r="CN46" s="1242"/>
      <c r="CO46" s="112"/>
      <c r="CP46" s="112"/>
      <c r="CQ46" s="112"/>
      <c r="CR46" s="1242"/>
      <c r="CS46" s="1242"/>
      <c r="CT46" s="1242"/>
      <c r="CU46" s="1242"/>
      <c r="CV46" s="1242"/>
      <c r="CW46" s="1242"/>
      <c r="CX46" s="1242"/>
      <c r="CY46" s="1242"/>
      <c r="CZ46" s="1242"/>
      <c r="DA46" s="1242"/>
      <c r="DB46" s="1242"/>
    </row>
    <row r="47" spans="1:106" s="1310" customFormat="1">
      <c r="A47" s="3">
        <f t="shared" si="20"/>
        <v>33</v>
      </c>
      <c r="B47" s="9" t="s">
        <v>55</v>
      </c>
      <c r="C47" s="9"/>
      <c r="D47" s="9"/>
      <c r="E47" s="804">
        <f>+'JHS-22'!M15</f>
        <v>3.8558000000000002E-2</v>
      </c>
      <c r="F47" s="435">
        <f>ROUND(G41*E47,0)</f>
        <v>805724</v>
      </c>
      <c r="G47" s="128"/>
      <c r="H47" s="3">
        <f t="shared" si="1"/>
        <v>35</v>
      </c>
      <c r="I47" s="79" t="s">
        <v>480</v>
      </c>
      <c r="J47" s="1242"/>
      <c r="K47" s="806" t="s">
        <v>939</v>
      </c>
      <c r="L47" s="745">
        <v>-7273471</v>
      </c>
      <c r="Z47" s="8"/>
      <c r="AA47" s="1242"/>
      <c r="AB47" s="1242"/>
      <c r="AC47" s="1242"/>
      <c r="AD47" s="1242"/>
      <c r="AE47" s="134"/>
      <c r="AF47" s="150"/>
      <c r="AG47" s="150"/>
      <c r="AH47" s="150"/>
      <c r="AI47" s="150"/>
      <c r="AX47" s="8"/>
      <c r="BC47" s="91"/>
      <c r="BD47" s="1242"/>
      <c r="BE47" s="1242"/>
      <c r="BF47" s="1242"/>
      <c r="BG47" s="1242"/>
      <c r="BH47" s="109"/>
      <c r="BI47" s="109"/>
      <c r="BJ47" s="335"/>
      <c r="BK47" s="335"/>
      <c r="BL47" s="335"/>
      <c r="BR47" s="1242"/>
      <c r="BS47" s="1242"/>
      <c r="BT47" s="1242"/>
      <c r="BU47" s="1242"/>
      <c r="BV47" s="8"/>
      <c r="BW47" s="128"/>
      <c r="BX47" s="128"/>
      <c r="BY47" s="128"/>
      <c r="BZ47" s="1242"/>
      <c r="CA47" s="1242"/>
      <c r="CB47" s="1242"/>
      <c r="CC47" s="1242"/>
      <c r="CD47" s="1242"/>
      <c r="CE47" s="1242"/>
      <c r="CF47" s="1242"/>
      <c r="CG47" s="1242"/>
      <c r="CH47" s="1242"/>
      <c r="CI47" s="1242"/>
      <c r="CJ47" s="1242"/>
      <c r="CK47" s="1242"/>
      <c r="CL47" s="1242"/>
      <c r="CM47" s="1242"/>
      <c r="CN47" s="1242"/>
      <c r="CO47" s="112"/>
      <c r="CP47" s="112"/>
      <c r="CQ47" s="112"/>
      <c r="CR47" s="1242"/>
      <c r="CS47" s="1242"/>
      <c r="CT47" s="1242"/>
      <c r="CU47" s="1242"/>
      <c r="CV47" s="1242"/>
      <c r="CW47" s="1242"/>
      <c r="CX47" s="1242"/>
      <c r="CY47" s="1242"/>
      <c r="CZ47" s="1242"/>
      <c r="DA47" s="1242"/>
      <c r="DB47" s="1242"/>
    </row>
    <row r="48" spans="1:106" s="1310" customFormat="1">
      <c r="A48" s="3">
        <f t="shared" si="20"/>
        <v>34</v>
      </c>
      <c r="B48" s="43" t="s">
        <v>18</v>
      </c>
      <c r="C48" s="9"/>
      <c r="D48" s="9"/>
      <c r="E48" s="1242"/>
      <c r="F48" s="139"/>
      <c r="G48" s="436">
        <f>SUM(F47:F47)</f>
        <v>805724</v>
      </c>
      <c r="H48" s="3">
        <f t="shared" si="1"/>
        <v>36</v>
      </c>
      <c r="I48" s="79"/>
      <c r="J48" s="1242"/>
      <c r="K48" s="806"/>
      <c r="L48" s="806"/>
      <c r="Z48" s="8"/>
      <c r="AA48" s="1242"/>
      <c r="AB48" s="1242"/>
      <c r="AC48" s="1242"/>
      <c r="AD48" s="1242"/>
      <c r="AE48" s="112"/>
      <c r="AF48" s="150"/>
      <c r="AG48" s="150"/>
      <c r="AH48" s="150"/>
      <c r="AI48" s="150"/>
      <c r="AX48" s="8"/>
      <c r="BC48" s="91"/>
      <c r="BD48" s="1242"/>
      <c r="BE48" s="1242"/>
      <c r="BF48" s="1242"/>
      <c r="BG48" s="1242"/>
      <c r="BH48" s="109"/>
      <c r="BI48" s="109"/>
      <c r="BJ48" s="335"/>
      <c r="BK48" s="335"/>
      <c r="BL48" s="335"/>
      <c r="BR48" s="1242"/>
      <c r="BS48" s="1242"/>
      <c r="BT48" s="1242"/>
      <c r="BU48" s="1242"/>
      <c r="BV48" s="8"/>
      <c r="BW48" s="128"/>
      <c r="BX48" s="128"/>
      <c r="BY48" s="128"/>
      <c r="BZ48" s="1242"/>
      <c r="CA48" s="1242"/>
      <c r="CB48" s="1242"/>
      <c r="CC48" s="1242"/>
      <c r="CD48" s="1242"/>
      <c r="CE48" s="1242"/>
      <c r="CF48" s="1242"/>
      <c r="CG48" s="1242"/>
      <c r="CH48" s="1242"/>
      <c r="CI48" s="1242"/>
      <c r="CJ48" s="1242"/>
      <c r="CK48" s="1242"/>
      <c r="CL48" s="1242"/>
      <c r="CM48" s="1242"/>
      <c r="CN48" s="1242"/>
      <c r="CO48" s="1242"/>
      <c r="CP48" s="1242"/>
      <c r="CQ48" s="1242"/>
      <c r="CR48" s="1242"/>
      <c r="CS48" s="1242"/>
      <c r="CT48" s="1242"/>
      <c r="CU48" s="1242"/>
      <c r="CV48" s="1242"/>
      <c r="CW48" s="1242"/>
      <c r="CX48" s="1242"/>
      <c r="CY48" s="1242"/>
      <c r="CZ48" s="1242"/>
      <c r="DA48" s="1242"/>
      <c r="DB48" s="1242"/>
    </row>
    <row r="49" spans="1:106" s="1310" customFormat="1">
      <c r="A49" s="3">
        <f t="shared" si="20"/>
        <v>35</v>
      </c>
      <c r="B49" s="9"/>
      <c r="C49" s="9"/>
      <c r="D49" s="9"/>
      <c r="E49" s="1242"/>
      <c r="F49" s="1242"/>
      <c r="G49" s="128"/>
      <c r="H49" s="3">
        <f t="shared" si="1"/>
        <v>37</v>
      </c>
      <c r="I49" s="79" t="s">
        <v>53</v>
      </c>
      <c r="J49" s="804">
        <f>+'JHS-22'!M13</f>
        <v>4.444E-3</v>
      </c>
      <c r="K49" s="745">
        <f>+L44*J49</f>
        <v>-24166.845685354172</v>
      </c>
      <c r="L49" s="745"/>
      <c r="Z49" s="1242"/>
      <c r="AA49" s="1242"/>
      <c r="AB49" s="1242"/>
      <c r="AC49" s="1242"/>
      <c r="AD49" s="1242"/>
      <c r="AE49" s="1242"/>
      <c r="AF49" s="112"/>
      <c r="AG49" s="112"/>
      <c r="AH49" s="112"/>
      <c r="AI49" s="112"/>
      <c r="AX49" s="8"/>
      <c r="BC49" s="1242"/>
      <c r="BD49" s="1242"/>
      <c r="BE49" s="1242"/>
      <c r="BF49" s="1242"/>
      <c r="BG49" s="1242"/>
      <c r="BH49" s="109"/>
      <c r="BI49" s="109"/>
      <c r="BJ49" s="109"/>
      <c r="BK49" s="109"/>
      <c r="BL49" s="109"/>
      <c r="BR49" s="1242"/>
      <c r="BS49" s="1242"/>
      <c r="BT49" s="1242"/>
      <c r="BU49" s="1242"/>
      <c r="BV49" s="8"/>
      <c r="BW49" s="128"/>
      <c r="BX49" s="128"/>
      <c r="BY49" s="128"/>
      <c r="BZ49" s="1242"/>
      <c r="CA49" s="1242"/>
      <c r="CB49" s="1242"/>
      <c r="CC49" s="1242"/>
      <c r="CD49" s="1242"/>
      <c r="CE49" s="1242"/>
      <c r="CF49" s="1242"/>
      <c r="CG49" s="1242"/>
      <c r="CH49" s="1242"/>
      <c r="CI49" s="1242"/>
      <c r="CJ49" s="1242"/>
      <c r="CK49" s="1242"/>
      <c r="CL49" s="1242"/>
      <c r="CM49" s="1242"/>
      <c r="CN49" s="1242"/>
      <c r="CO49" s="1242"/>
      <c r="CP49" s="1242"/>
      <c r="CQ49" s="1242"/>
      <c r="CR49" s="1242"/>
      <c r="CS49" s="1242"/>
      <c r="CT49" s="1242"/>
      <c r="CU49" s="1242"/>
      <c r="CV49" s="1242"/>
      <c r="CW49" s="1242"/>
      <c r="CX49" s="1242"/>
      <c r="CY49" s="1242"/>
      <c r="CZ49" s="1242"/>
      <c r="DA49" s="1242"/>
      <c r="DB49" s="1242"/>
    </row>
    <row r="50" spans="1:106" s="1310" customFormat="1">
      <c r="A50" s="3">
        <f t="shared" si="20"/>
        <v>36</v>
      </c>
      <c r="B50" s="9" t="s">
        <v>27</v>
      </c>
      <c r="C50" s="9"/>
      <c r="D50" s="9"/>
      <c r="E50" s="1242"/>
      <c r="F50" s="132"/>
      <c r="G50" s="133">
        <f>G41-G45-G48</f>
        <v>19956045.041821491</v>
      </c>
      <c r="H50" s="3">
        <f t="shared" si="1"/>
        <v>38</v>
      </c>
      <c r="I50" s="79" t="s">
        <v>54</v>
      </c>
      <c r="J50" s="804">
        <f>+'JHS-22'!M14</f>
        <v>2E-3</v>
      </c>
      <c r="K50" s="800">
        <f>+L44*J50</f>
        <v>-10876.168175226901</v>
      </c>
      <c r="L50" s="745"/>
      <c r="Z50" s="1242"/>
      <c r="AA50" s="1242"/>
      <c r="AB50" s="1242"/>
      <c r="AC50" s="1242"/>
      <c r="AD50" s="1242"/>
      <c r="AE50" s="1242"/>
      <c r="AF50" s="134"/>
      <c r="AG50" s="134"/>
      <c r="AH50" s="134"/>
      <c r="AI50" s="134"/>
      <c r="AX50" s="8"/>
      <c r="BC50" s="1242"/>
      <c r="BD50" s="107"/>
      <c r="BE50" s="1242"/>
      <c r="BF50" s="1242"/>
      <c r="BG50" s="1242"/>
      <c r="BH50" s="109"/>
      <c r="BI50" s="109"/>
      <c r="BJ50" s="109"/>
      <c r="BK50" s="109"/>
      <c r="BL50" s="109"/>
      <c r="BR50" s="1242"/>
      <c r="BS50" s="1242"/>
      <c r="BT50" s="1242"/>
      <c r="BU50" s="1242"/>
      <c r="BV50" s="8"/>
      <c r="BW50" s="128"/>
      <c r="BX50" s="128"/>
      <c r="BY50" s="128"/>
      <c r="BZ50" s="1242"/>
      <c r="CA50" s="1242"/>
      <c r="CB50" s="1242"/>
      <c r="CC50" s="1242"/>
      <c r="CD50" s="1242"/>
      <c r="CE50" s="1242"/>
      <c r="CF50" s="1242"/>
      <c r="CG50" s="1242"/>
      <c r="CH50" s="1242"/>
      <c r="CI50" s="1242"/>
      <c r="CJ50" s="1242"/>
      <c r="CK50" s="1242"/>
      <c r="CL50" s="1242"/>
      <c r="CM50" s="1242"/>
      <c r="CN50" s="1242"/>
      <c r="CO50" s="1242"/>
      <c r="CP50" s="1242"/>
      <c r="CQ50" s="1242"/>
      <c r="CR50" s="1242"/>
      <c r="CS50" s="1242"/>
      <c r="CT50" s="1242"/>
      <c r="CU50" s="1242"/>
      <c r="CV50" s="1242"/>
      <c r="CW50" s="1242"/>
      <c r="CX50" s="1242"/>
      <c r="CY50" s="1242"/>
      <c r="CZ50" s="1242"/>
      <c r="DA50" s="1242"/>
      <c r="DB50" s="1242"/>
    </row>
    <row r="51" spans="1:106" s="1310" customFormat="1">
      <c r="A51" s="3">
        <f t="shared" si="20"/>
        <v>37</v>
      </c>
      <c r="B51" s="9"/>
      <c r="C51" s="9"/>
      <c r="D51" s="9"/>
      <c r="E51" s="1242"/>
      <c r="F51" s="132"/>
      <c r="G51" s="132"/>
      <c r="H51" s="3">
        <f t="shared" si="1"/>
        <v>39</v>
      </c>
      <c r="I51" s="522" t="s">
        <v>17</v>
      </c>
      <c r="J51" s="804"/>
      <c r="K51" s="745"/>
      <c r="L51" s="745">
        <f>SUM(K49:K50)</f>
        <v>-35043.013860581072</v>
      </c>
      <c r="Z51" s="1242"/>
      <c r="AA51" s="1242"/>
      <c r="AB51" s="1242"/>
      <c r="AC51" s="1242"/>
      <c r="AD51" s="1242"/>
      <c r="AE51" s="1242"/>
      <c r="AF51" s="112"/>
      <c r="AG51" s="112"/>
      <c r="AH51" s="112"/>
      <c r="AI51" s="112"/>
      <c r="AX51" s="8"/>
      <c r="BC51" s="1242"/>
      <c r="BD51" s="1242"/>
      <c r="BE51" s="1242"/>
      <c r="BF51" s="1242"/>
      <c r="BG51" s="1242"/>
      <c r="BH51" s="109"/>
      <c r="BI51" s="109"/>
      <c r="BJ51" s="109"/>
      <c r="BK51" s="109"/>
      <c r="BL51" s="109"/>
      <c r="BR51" s="1242"/>
      <c r="BS51" s="1242"/>
      <c r="BT51" s="1242"/>
      <c r="BU51" s="1242"/>
      <c r="BV51" s="8"/>
      <c r="BW51" s="128"/>
      <c r="BX51" s="128"/>
      <c r="BY51" s="128"/>
      <c r="BZ51" s="1242"/>
      <c r="CA51" s="1242"/>
      <c r="CB51" s="1242"/>
      <c r="CC51" s="1242"/>
      <c r="CD51" s="1242"/>
      <c r="CE51" s="1242"/>
      <c r="CF51" s="1242"/>
      <c r="CG51" s="1242"/>
      <c r="CH51" s="1242"/>
      <c r="CI51" s="1242"/>
      <c r="CJ51" s="1242"/>
      <c r="CK51" s="1242"/>
      <c r="CL51" s="1242"/>
      <c r="CM51" s="1242"/>
      <c r="CN51" s="1242"/>
      <c r="CO51" s="1242"/>
      <c r="CP51" s="1242"/>
      <c r="CQ51" s="1242"/>
      <c r="CR51" s="1242"/>
      <c r="CS51" s="1242"/>
      <c r="CT51" s="1242"/>
      <c r="CU51" s="1242"/>
      <c r="CV51" s="1242"/>
      <c r="CW51" s="1242"/>
      <c r="CX51" s="1242"/>
      <c r="CY51" s="1242"/>
      <c r="CZ51" s="1242"/>
      <c r="DA51" s="1242"/>
      <c r="DB51" s="1242"/>
    </row>
    <row r="52" spans="1:106" s="1310" customFormat="1">
      <c r="A52" s="3">
        <f t="shared" si="20"/>
        <v>38</v>
      </c>
      <c r="B52" s="9" t="s">
        <v>23</v>
      </c>
      <c r="C52" s="9"/>
      <c r="D52" s="9"/>
      <c r="E52" s="44">
        <f>FIT</f>
        <v>0.35</v>
      </c>
      <c r="F52" s="132"/>
      <c r="G52" s="151">
        <f>ROUND(G50*E52,0)</f>
        <v>6984616</v>
      </c>
      <c r="H52" s="3">
        <f t="shared" si="1"/>
        <v>40</v>
      </c>
      <c r="I52" s="79"/>
      <c r="J52" s="804"/>
      <c r="K52" s="745"/>
      <c r="L52" s="745"/>
      <c r="Z52" s="34"/>
      <c r="AA52" s="1242"/>
      <c r="AB52" s="1242"/>
      <c r="AC52" s="1242"/>
      <c r="AD52" s="1242"/>
      <c r="AE52" s="1242"/>
      <c r="AF52" s="1242"/>
      <c r="AG52" s="1242"/>
      <c r="AH52" s="1242"/>
      <c r="AI52" s="1242"/>
      <c r="AX52" s="8"/>
      <c r="BC52" s="1242"/>
      <c r="BD52" s="1242"/>
      <c r="BE52" s="1242"/>
      <c r="BF52" s="1242"/>
      <c r="BG52" s="1242"/>
      <c r="BH52" s="109"/>
      <c r="BI52" s="109"/>
      <c r="BJ52" s="109"/>
      <c r="BK52" s="109"/>
      <c r="BL52" s="109"/>
      <c r="BR52" s="1242"/>
      <c r="BS52" s="1242"/>
      <c r="BT52" s="1242"/>
      <c r="BU52" s="1242"/>
      <c r="BV52" s="8"/>
      <c r="BW52" s="128"/>
      <c r="BX52" s="128"/>
      <c r="BY52" s="128"/>
      <c r="BZ52" s="1242"/>
      <c r="CA52" s="1242"/>
      <c r="CB52" s="1242"/>
      <c r="CC52" s="1242"/>
      <c r="CD52" s="1242"/>
      <c r="CE52" s="1242"/>
      <c r="CF52" s="1242"/>
      <c r="CG52" s="1242"/>
      <c r="CH52" s="1242"/>
      <c r="CI52" s="1242"/>
      <c r="CJ52" s="1242"/>
      <c r="CK52" s="1242"/>
      <c r="CL52" s="1242"/>
      <c r="CM52" s="1242"/>
      <c r="CN52" s="1242"/>
      <c r="CO52" s="1242"/>
      <c r="CP52" s="1242"/>
      <c r="CQ52" s="1242"/>
      <c r="CR52" s="1242"/>
      <c r="CS52" s="1242"/>
      <c r="CT52" s="1242"/>
      <c r="CU52" s="1242"/>
      <c r="CV52" s="1242"/>
      <c r="CW52" s="1242"/>
      <c r="CX52" s="1242"/>
      <c r="CY52" s="1242"/>
      <c r="CZ52" s="1242"/>
      <c r="DA52" s="1242"/>
      <c r="DB52" s="1242"/>
    </row>
    <row r="53" spans="1:106" s="1310" customFormat="1" ht="13.5" thickBot="1">
      <c r="A53" s="3">
        <f t="shared" si="20"/>
        <v>39</v>
      </c>
      <c r="B53" s="9" t="s">
        <v>369</v>
      </c>
      <c r="C53" s="9"/>
      <c r="D53" s="9"/>
      <c r="E53" s="1242"/>
      <c r="F53" s="132"/>
      <c r="G53" s="805">
        <f>G50-G52</f>
        <v>12971429.041821491</v>
      </c>
      <c r="H53" s="3">
        <f t="shared" si="1"/>
        <v>41</v>
      </c>
      <c r="I53" s="79" t="s">
        <v>55</v>
      </c>
      <c r="J53" s="804">
        <f>+'JHS-22'!M15</f>
        <v>3.8558000000000002E-2</v>
      </c>
      <c r="K53" s="800">
        <f>+L44*J53</f>
        <v>-209681.64625019944</v>
      </c>
      <c r="L53" s="745"/>
      <c r="Z53" s="34"/>
      <c r="AA53" s="1242"/>
      <c r="AB53" s="1242"/>
      <c r="AC53" s="1242"/>
      <c r="AD53" s="1242"/>
      <c r="AE53" s="1242"/>
      <c r="AF53" s="1242"/>
      <c r="AG53" s="1242"/>
      <c r="AH53" s="1242"/>
      <c r="AI53" s="1242"/>
      <c r="AX53" s="8"/>
      <c r="BC53" s="1242"/>
      <c r="BD53" s="1242"/>
      <c r="BE53" s="1242"/>
      <c r="BF53" s="1242"/>
      <c r="BG53" s="1242"/>
      <c r="BH53" s="109"/>
      <c r="BI53" s="109"/>
      <c r="BJ53" s="109"/>
      <c r="BK53" s="109"/>
      <c r="BL53" s="109"/>
      <c r="BR53" s="1242"/>
      <c r="BS53" s="1242"/>
      <c r="BT53" s="1242"/>
      <c r="BU53" s="1242"/>
      <c r="BV53" s="128"/>
      <c r="BW53" s="128"/>
      <c r="BX53" s="128"/>
      <c r="BY53" s="128"/>
      <c r="BZ53" s="1242"/>
      <c r="CA53" s="1242"/>
      <c r="CB53" s="1242"/>
      <c r="CC53" s="1242"/>
      <c r="CD53" s="1242"/>
      <c r="CE53" s="1242"/>
      <c r="CF53" s="1242"/>
      <c r="CG53" s="1242"/>
      <c r="CH53" s="1242"/>
      <c r="CI53" s="1242"/>
      <c r="CJ53" s="1242"/>
      <c r="CK53" s="1242"/>
      <c r="CL53" s="1242"/>
      <c r="CM53" s="1242"/>
      <c r="CN53" s="1242"/>
      <c r="CO53" s="1242"/>
      <c r="CP53" s="1242"/>
      <c r="CQ53" s="1242"/>
      <c r="CR53" s="1242"/>
      <c r="CS53" s="1242"/>
      <c r="CT53" s="1242"/>
      <c r="CU53" s="1242"/>
      <c r="CV53" s="1242"/>
      <c r="CW53" s="1242"/>
      <c r="CX53" s="1242"/>
      <c r="CY53" s="1242"/>
      <c r="CZ53" s="1242"/>
      <c r="DA53" s="1242"/>
      <c r="DB53" s="1242"/>
    </row>
    <row r="54" spans="1:106" s="1310" customFormat="1" ht="13.5" thickTop="1">
      <c r="A54" s="3"/>
      <c r="B54" s="1242"/>
      <c r="C54" s="1242"/>
      <c r="D54" s="1242"/>
      <c r="E54" s="1242"/>
      <c r="F54" s="1242"/>
      <c r="G54" s="1242"/>
      <c r="H54" s="3">
        <f t="shared" si="1"/>
        <v>42</v>
      </c>
      <c r="I54" s="522" t="s">
        <v>18</v>
      </c>
      <c r="J54" s="1242"/>
      <c r="K54" s="745"/>
      <c r="L54" s="800">
        <f>SUM(K53:K53)</f>
        <v>-209681.64625019944</v>
      </c>
      <c r="Z54" s="34"/>
      <c r="AA54" s="1242"/>
      <c r="AB54" s="1242"/>
      <c r="AC54" s="1242"/>
      <c r="AD54" s="1242"/>
      <c r="AE54" s="1242"/>
      <c r="AF54" s="1242"/>
      <c r="AG54" s="1242"/>
      <c r="AH54" s="1242"/>
      <c r="AI54" s="1242"/>
      <c r="AX54" s="8"/>
      <c r="BC54" s="1242"/>
      <c r="BD54" s="1242"/>
      <c r="BE54" s="1242"/>
      <c r="BF54" s="1242"/>
      <c r="BG54" s="1242"/>
      <c r="BH54" s="109"/>
      <c r="BI54" s="109"/>
      <c r="BJ54" s="109"/>
      <c r="BK54" s="109"/>
      <c r="BL54" s="109"/>
      <c r="BR54" s="1242"/>
      <c r="BS54" s="1242"/>
      <c r="BT54" s="1242"/>
      <c r="BU54" s="1242"/>
      <c r="BV54" s="269"/>
      <c r="BW54" s="128"/>
      <c r="BX54" s="128"/>
      <c r="BY54" s="128"/>
      <c r="BZ54" s="1242"/>
      <c r="CA54" s="1242"/>
      <c r="CB54" s="1242"/>
      <c r="CC54" s="1242"/>
      <c r="CD54" s="1242"/>
      <c r="CE54" s="1242"/>
      <c r="CF54" s="1242"/>
      <c r="CG54" s="1242"/>
      <c r="CH54" s="1242"/>
      <c r="CI54" s="1242"/>
      <c r="CJ54" s="1242"/>
      <c r="CK54" s="1242"/>
      <c r="CL54" s="1242"/>
      <c r="CM54" s="1242"/>
      <c r="CN54" s="1242"/>
      <c r="CO54" s="1242"/>
      <c r="CP54" s="1242"/>
      <c r="CQ54" s="1242"/>
      <c r="CR54" s="1242"/>
      <c r="CS54" s="1242"/>
      <c r="CT54" s="1242"/>
      <c r="CU54" s="1242"/>
      <c r="CV54" s="1242"/>
      <c r="CW54" s="1242"/>
      <c r="CX54" s="1242"/>
      <c r="CY54" s="1242"/>
      <c r="CZ54" s="1242"/>
      <c r="DA54" s="1242"/>
      <c r="DB54" s="1242"/>
    </row>
    <row r="55" spans="1:106" s="1310" customFormat="1">
      <c r="A55" s="269"/>
      <c r="B55" s="1242"/>
      <c r="C55" s="1242"/>
      <c r="D55" s="1242"/>
      <c r="E55" s="1242"/>
      <c r="F55" s="129"/>
      <c r="G55" s="1242"/>
      <c r="H55" s="3">
        <f t="shared" si="1"/>
        <v>43</v>
      </c>
      <c r="I55" s="9"/>
      <c r="J55" s="1242"/>
      <c r="K55" s="745"/>
      <c r="L55" s="745"/>
      <c r="Z55" s="34"/>
      <c r="AA55" s="1242"/>
      <c r="AB55" s="1242"/>
      <c r="AC55" s="1242"/>
      <c r="AD55" s="1242"/>
      <c r="AE55" s="1242"/>
      <c r="AF55" s="1242"/>
      <c r="AG55" s="1242"/>
      <c r="AH55" s="1242"/>
      <c r="AI55" s="1242"/>
      <c r="AX55" s="8"/>
      <c r="BC55" s="1242"/>
      <c r="BD55" s="1242"/>
      <c r="BE55" s="1242"/>
      <c r="BF55" s="1242"/>
      <c r="BG55" s="1242"/>
      <c r="BH55" s="109"/>
      <c r="BI55" s="109"/>
      <c r="BJ55" s="109"/>
      <c r="BK55" s="109"/>
      <c r="BL55" s="109"/>
      <c r="BR55" s="1242"/>
      <c r="BS55" s="1242"/>
      <c r="BT55" s="1242"/>
      <c r="BU55" s="1242"/>
      <c r="BV55" s="128"/>
      <c r="BW55" s="1242"/>
      <c r="BX55" s="1242"/>
      <c r="BY55" s="1242"/>
      <c r="BZ55" s="1242"/>
      <c r="CA55" s="1242"/>
      <c r="CB55" s="1242"/>
      <c r="CC55" s="1242"/>
      <c r="CD55" s="1242"/>
      <c r="CE55" s="1242"/>
      <c r="CF55" s="1242"/>
      <c r="CG55" s="1242"/>
      <c r="CH55" s="1242"/>
      <c r="CI55" s="1242"/>
      <c r="CJ55" s="1242"/>
      <c r="CK55" s="1242"/>
      <c r="CL55" s="1242"/>
      <c r="CM55" s="1242"/>
      <c r="CN55" s="1242"/>
      <c r="CO55" s="1242"/>
      <c r="CP55" s="1242"/>
      <c r="CQ55" s="1242"/>
      <c r="CR55" s="1242"/>
      <c r="CS55" s="1242"/>
      <c r="CT55" s="1242"/>
      <c r="CU55" s="1242"/>
      <c r="CV55" s="1242"/>
      <c r="CW55" s="1242"/>
      <c r="CX55" s="1242"/>
      <c r="CY55" s="1242"/>
      <c r="CZ55" s="1242"/>
      <c r="DA55" s="1242"/>
      <c r="DB55" s="1242"/>
    </row>
    <row r="56" spans="1:106" s="1310" customFormat="1">
      <c r="H56" s="3">
        <f t="shared" si="1"/>
        <v>44</v>
      </c>
      <c r="I56" s="9" t="s">
        <v>27</v>
      </c>
      <c r="J56" s="1242"/>
      <c r="K56" s="745"/>
      <c r="L56" s="745">
        <f>L44-L47-L51-L54</f>
        <v>2080111.5724973301</v>
      </c>
      <c r="Z56" s="1242"/>
      <c r="AA56" s="1242"/>
      <c r="AB56" s="1242"/>
      <c r="AC56" s="1242"/>
      <c r="AD56" s="1242"/>
      <c r="AE56" s="1242"/>
      <c r="AF56" s="1242"/>
      <c r="AG56" s="1242"/>
      <c r="AH56" s="1242"/>
      <c r="AI56" s="1242"/>
      <c r="AX56" s="8"/>
      <c r="BC56" s="1242"/>
      <c r="BD56" s="1242"/>
      <c r="BE56" s="1242"/>
      <c r="BF56" s="1242"/>
      <c r="BG56" s="1242"/>
      <c r="BH56" s="109"/>
      <c r="BI56" s="109"/>
      <c r="BJ56" s="109"/>
      <c r="BK56" s="109"/>
      <c r="BL56" s="36"/>
      <c r="BR56" s="1242"/>
      <c r="BS56" s="1242"/>
      <c r="BT56" s="1242"/>
      <c r="BU56" s="1242"/>
      <c r="BV56" s="128"/>
      <c r="BW56" s="1242"/>
      <c r="BX56" s="1242"/>
      <c r="BY56" s="1242"/>
      <c r="BZ56" s="1242"/>
      <c r="CA56" s="1242"/>
      <c r="CB56" s="1242"/>
      <c r="CC56" s="1242"/>
      <c r="CD56" s="1242"/>
      <c r="CE56" s="1242"/>
      <c r="CF56" s="1242"/>
      <c r="CG56" s="1242"/>
      <c r="CH56" s="1242"/>
      <c r="CI56" s="1242"/>
      <c r="CJ56" s="1242"/>
      <c r="CK56" s="1242"/>
      <c r="CL56" s="1242"/>
      <c r="CM56" s="1242"/>
      <c r="CN56" s="1242"/>
      <c r="CO56" s="1242"/>
      <c r="CP56" s="1242"/>
      <c r="CQ56" s="1242"/>
      <c r="CR56" s="1242"/>
      <c r="CS56" s="1242"/>
      <c r="CT56" s="1242"/>
      <c r="CU56" s="1242"/>
      <c r="CV56" s="1242"/>
      <c r="CW56" s="1242"/>
      <c r="CX56" s="1242"/>
      <c r="CY56" s="1242"/>
      <c r="CZ56" s="1242"/>
      <c r="DA56" s="1242"/>
      <c r="DB56" s="1242"/>
    </row>
    <row r="57" spans="1:106" s="1310" customFormat="1">
      <c r="H57" s="3">
        <f t="shared" si="1"/>
        <v>45</v>
      </c>
      <c r="I57" s="9"/>
      <c r="J57" s="1242"/>
      <c r="K57" s="745"/>
      <c r="L57" s="745"/>
      <c r="Z57" s="1242"/>
      <c r="AA57" s="1330"/>
      <c r="AB57" s="1330"/>
      <c r="AC57" s="1330"/>
      <c r="AD57" s="1330"/>
      <c r="AE57" s="1242"/>
      <c r="AF57" s="1242"/>
      <c r="AG57" s="1242"/>
      <c r="AH57" s="1242"/>
      <c r="AI57" s="1242"/>
      <c r="AX57" s="8"/>
      <c r="BC57" s="1242"/>
      <c r="BD57" s="1242"/>
      <c r="BE57" s="1242"/>
      <c r="BF57" s="1242"/>
      <c r="BG57" s="1242"/>
      <c r="BH57" s="109"/>
      <c r="BI57" s="109"/>
      <c r="BJ57" s="109"/>
      <c r="BK57" s="109"/>
      <c r="BL57" s="109"/>
      <c r="BR57" s="1242"/>
      <c r="BS57" s="1242"/>
      <c r="BT57" s="1242"/>
      <c r="BU57" s="1242"/>
      <c r="BV57" s="128"/>
      <c r="BW57" s="1242"/>
      <c r="BX57" s="1242"/>
      <c r="BY57" s="1242"/>
      <c r="BZ57" s="1242"/>
      <c r="CA57" s="1242"/>
      <c r="CB57" s="1242"/>
      <c r="CC57" s="1242"/>
      <c r="CD57" s="1242"/>
      <c r="CE57" s="1242"/>
      <c r="CF57" s="1242"/>
      <c r="CG57" s="1242"/>
      <c r="CH57" s="1242"/>
      <c r="CI57" s="1242"/>
      <c r="CJ57" s="1242"/>
      <c r="CK57" s="1242"/>
      <c r="CL57" s="1242"/>
      <c r="CM57" s="1242"/>
      <c r="CN57" s="1242"/>
      <c r="CO57" s="1242"/>
      <c r="CP57" s="1242"/>
      <c r="CQ57" s="1242"/>
      <c r="CR57" s="1242"/>
      <c r="CS57" s="1242"/>
      <c r="CT57" s="1242"/>
      <c r="CU57" s="1242"/>
      <c r="CV57" s="1242"/>
      <c r="CW57" s="1242"/>
      <c r="CX57" s="1242"/>
      <c r="CY57" s="1242"/>
      <c r="CZ57" s="1242"/>
      <c r="DA57" s="1242"/>
      <c r="DB57" s="1242"/>
    </row>
    <row r="58" spans="1:106" s="1310" customFormat="1">
      <c r="H58" s="3">
        <f t="shared" si="1"/>
        <v>46</v>
      </c>
      <c r="I58" s="9" t="s">
        <v>23</v>
      </c>
      <c r="J58" s="44">
        <f>FIT</f>
        <v>0.35</v>
      </c>
      <c r="K58" s="745"/>
      <c r="L58" s="801">
        <f>ROUND(L56*J58,0)</f>
        <v>728039</v>
      </c>
      <c r="Z58" s="1242"/>
      <c r="AA58" s="1330"/>
      <c r="AB58" s="1330"/>
      <c r="AC58" s="1330"/>
      <c r="AD58" s="1330"/>
      <c r="AE58" s="1242"/>
      <c r="AF58" s="1242"/>
      <c r="AG58" s="1242"/>
      <c r="AH58" s="1242"/>
      <c r="AI58" s="1242"/>
      <c r="AX58" s="8"/>
      <c r="BC58" s="1242"/>
      <c r="BD58" s="1330"/>
      <c r="BE58" s="1330"/>
      <c r="BF58" s="1330"/>
      <c r="BG58" s="1330"/>
      <c r="BH58" s="1242"/>
      <c r="BI58" s="169"/>
      <c r="BJ58" s="109"/>
      <c r="BK58" s="109"/>
      <c r="BL58" s="109"/>
      <c r="BR58" s="1242"/>
      <c r="BS58" s="1242"/>
      <c r="BT58" s="1242"/>
      <c r="BU58" s="1242"/>
      <c r="BV58" s="128"/>
      <c r="BW58" s="1242"/>
      <c r="BX58" s="1242"/>
      <c r="BY58" s="1242"/>
      <c r="BZ58" s="1242"/>
      <c r="CA58" s="1242"/>
      <c r="CB58" s="1242"/>
      <c r="CC58" s="1242"/>
      <c r="CD58" s="1242"/>
      <c r="CE58" s="1242"/>
      <c r="CF58" s="1242"/>
      <c r="CG58" s="1242"/>
      <c r="CH58" s="1242"/>
      <c r="CI58" s="1242"/>
      <c r="CJ58" s="1242"/>
      <c r="CK58" s="1242"/>
      <c r="CL58" s="1242"/>
      <c r="CM58" s="1242"/>
      <c r="CN58" s="1242"/>
      <c r="CO58" s="1242"/>
      <c r="CP58" s="1242"/>
      <c r="CQ58" s="1242"/>
      <c r="CR58" s="1242"/>
      <c r="CS58" s="1242"/>
      <c r="CT58" s="1242"/>
      <c r="CU58" s="1242"/>
      <c r="CV58" s="1242"/>
      <c r="CW58" s="1242"/>
      <c r="CX58" s="1242"/>
      <c r="CY58" s="1242"/>
      <c r="CZ58" s="1242"/>
      <c r="DA58" s="1242"/>
      <c r="DB58" s="1242"/>
    </row>
    <row r="59" spans="1:106" s="1310" customFormat="1" ht="13.5" thickBot="1">
      <c r="H59" s="3">
        <f t="shared" si="1"/>
        <v>47</v>
      </c>
      <c r="I59" s="9" t="s">
        <v>369</v>
      </c>
      <c r="J59" s="1242"/>
      <c r="K59" s="745"/>
      <c r="L59" s="802">
        <f>L56-L58</f>
        <v>1352072.5724973301</v>
      </c>
      <c r="Z59" s="91"/>
      <c r="AA59" s="1330"/>
      <c r="AB59" s="1330"/>
      <c r="AC59" s="1330"/>
      <c r="AD59" s="1330"/>
      <c r="AE59" s="1242"/>
      <c r="AF59" s="1242"/>
      <c r="AG59" s="1242"/>
      <c r="AH59" s="1242"/>
      <c r="AI59" s="1242"/>
      <c r="AX59" s="8"/>
      <c r="BC59" s="1242"/>
      <c r="BD59" s="1330"/>
      <c r="BE59" s="1330"/>
      <c r="BF59" s="1330"/>
      <c r="BG59" s="1330"/>
      <c r="BH59" s="1242"/>
      <c r="BI59" s="109"/>
      <c r="BJ59" s="109"/>
      <c r="BK59" s="109"/>
      <c r="BL59" s="109"/>
      <c r="BR59" s="1242"/>
      <c r="BS59" s="1242"/>
      <c r="BT59" s="1242"/>
      <c r="BU59" s="1242"/>
      <c r="BV59" s="128"/>
      <c r="BW59" s="1242"/>
      <c r="BX59" s="1242"/>
      <c r="BY59" s="1242"/>
      <c r="BZ59" s="1242"/>
      <c r="CA59" s="1242"/>
      <c r="CB59" s="1242"/>
      <c r="CC59" s="1242"/>
      <c r="CD59" s="1242"/>
      <c r="CE59" s="1242"/>
      <c r="CF59" s="1242"/>
      <c r="CG59" s="1242"/>
      <c r="CH59" s="1242"/>
      <c r="CI59" s="1242"/>
      <c r="CJ59" s="1242"/>
      <c r="CK59" s="1242"/>
      <c r="CL59" s="1242"/>
      <c r="CM59" s="1242"/>
      <c r="CN59" s="1242"/>
      <c r="CO59" s="1242"/>
      <c r="CP59" s="1242"/>
      <c r="CQ59" s="1242"/>
      <c r="CR59" s="1242"/>
      <c r="CS59" s="1242"/>
      <c r="CT59" s="1242"/>
      <c r="CU59" s="1242"/>
      <c r="CV59" s="1242"/>
      <c r="CW59" s="1242"/>
      <c r="CX59" s="1242"/>
      <c r="CY59" s="1242"/>
      <c r="CZ59" s="1242"/>
      <c r="DA59" s="1242"/>
      <c r="DB59" s="1242"/>
    </row>
    <row r="60" spans="1:106" s="1310" customFormat="1" ht="13.5" thickTop="1">
      <c r="Z60" s="91"/>
      <c r="AA60" s="1330"/>
      <c r="AB60" s="1330"/>
      <c r="AC60" s="1330"/>
      <c r="AD60" s="1330"/>
      <c r="AE60" s="1242"/>
      <c r="AF60" s="1242"/>
      <c r="AG60" s="1242"/>
      <c r="AH60" s="1242"/>
      <c r="AI60" s="1242"/>
      <c r="AX60" s="8"/>
      <c r="BC60" s="1242"/>
      <c r="BD60" s="1330"/>
      <c r="BE60" s="1330"/>
      <c r="BF60" s="1330"/>
      <c r="BG60" s="1330"/>
      <c r="BH60" s="1242"/>
      <c r="BI60" s="109"/>
      <c r="BJ60" s="109"/>
      <c r="BK60" s="109"/>
      <c r="BL60" s="109"/>
      <c r="BR60" s="1242"/>
      <c r="BS60" s="1242"/>
      <c r="BT60" s="1242"/>
      <c r="BU60" s="1242"/>
      <c r="BV60" s="128"/>
      <c r="BW60" s="1242"/>
      <c r="BX60" s="1242"/>
      <c r="BY60" s="1242"/>
      <c r="BZ60" s="1242"/>
      <c r="CA60" s="1242"/>
      <c r="CB60" s="1242"/>
      <c r="CC60" s="1242"/>
      <c r="CD60" s="1242"/>
      <c r="CE60" s="1242"/>
      <c r="CF60" s="1242"/>
      <c r="CG60" s="1242"/>
      <c r="CH60" s="1242"/>
      <c r="CI60" s="1242"/>
      <c r="CJ60" s="1242"/>
      <c r="CK60" s="1242"/>
      <c r="CL60" s="1242"/>
      <c r="CM60" s="1242"/>
      <c r="CN60" s="1242"/>
      <c r="CO60" s="1242"/>
      <c r="CP60" s="1242"/>
      <c r="CQ60" s="1242"/>
      <c r="CR60" s="1242"/>
      <c r="CS60" s="1242"/>
      <c r="CT60" s="1242"/>
      <c r="CU60" s="1242"/>
      <c r="CV60" s="1242"/>
      <c r="CW60" s="1242"/>
      <c r="CX60" s="1242"/>
      <c r="CY60" s="1242"/>
      <c r="CZ60" s="1242"/>
      <c r="DA60" s="1242"/>
      <c r="DB60" s="1242"/>
    </row>
    <row r="61" spans="1:106" s="1310" customFormat="1">
      <c r="Z61" s="91"/>
      <c r="AA61" s="1330"/>
      <c r="AB61" s="1330"/>
      <c r="AC61" s="1330"/>
      <c r="AD61" s="1330"/>
      <c r="AE61" s="1242"/>
      <c r="AF61" s="1242"/>
      <c r="AG61" s="1242"/>
      <c r="AH61" s="1242"/>
      <c r="AI61" s="1242"/>
      <c r="AX61" s="8"/>
      <c r="BC61" s="1242"/>
      <c r="BD61" s="1330"/>
      <c r="BE61" s="1330"/>
      <c r="BF61" s="1330"/>
      <c r="BG61" s="1330"/>
      <c r="BH61" s="1242"/>
      <c r="BI61" s="109"/>
      <c r="BJ61" s="109"/>
      <c r="BK61" s="109"/>
      <c r="BL61" s="109"/>
      <c r="BR61" s="1242"/>
      <c r="BS61" s="1242"/>
      <c r="BT61" s="1242"/>
      <c r="BU61" s="1242"/>
      <c r="BV61" s="128"/>
      <c r="BW61" s="1242"/>
      <c r="BX61" s="1242"/>
      <c r="BY61" s="1242"/>
      <c r="BZ61" s="1242"/>
      <c r="CA61" s="1242"/>
      <c r="CB61" s="1242"/>
      <c r="CC61" s="1242"/>
      <c r="CD61" s="107"/>
      <c r="CE61" s="1242"/>
      <c r="CF61" s="1242"/>
      <c r="CG61" s="1242"/>
      <c r="CH61" s="1242"/>
      <c r="CI61" s="1242"/>
      <c r="CJ61" s="1242"/>
      <c r="CK61" s="1242"/>
      <c r="CL61" s="1242"/>
      <c r="CM61" s="1242"/>
      <c r="CN61" s="1242"/>
      <c r="CO61" s="1242"/>
      <c r="CP61" s="1242"/>
      <c r="CQ61" s="1242"/>
      <c r="CR61" s="1242"/>
      <c r="CS61" s="1242"/>
      <c r="CT61" s="1242"/>
      <c r="CU61" s="1242"/>
      <c r="CV61" s="1242"/>
      <c r="CW61" s="1242"/>
      <c r="CX61" s="1242"/>
      <c r="CY61" s="1242"/>
      <c r="CZ61" s="1242"/>
      <c r="DA61" s="1242"/>
      <c r="DB61" s="1242"/>
    </row>
    <row r="62" spans="1:106" s="1310" customFormat="1">
      <c r="Z62" s="1242"/>
      <c r="AA62" s="1330"/>
      <c r="AB62" s="1330"/>
      <c r="AC62" s="1330"/>
      <c r="AD62" s="1330"/>
      <c r="AE62" s="1242"/>
      <c r="AF62" s="1242"/>
      <c r="AG62" s="1242"/>
      <c r="AH62" s="1242"/>
      <c r="AI62" s="1242"/>
      <c r="AX62" s="8"/>
      <c r="BC62" s="1242"/>
      <c r="BD62" s="1330"/>
      <c r="BE62" s="1330"/>
      <c r="BF62" s="1330"/>
      <c r="BG62" s="1330"/>
      <c r="BH62" s="1242"/>
      <c r="BI62" s="109"/>
      <c r="BJ62" s="109"/>
      <c r="BK62" s="109"/>
      <c r="BL62" s="109"/>
      <c r="BR62" s="1242"/>
      <c r="BS62" s="1242"/>
      <c r="BT62" s="1242"/>
      <c r="BU62" s="1242"/>
      <c r="BV62" s="128"/>
      <c r="BW62" s="1242"/>
      <c r="BX62" s="1242"/>
      <c r="BY62" s="1242"/>
      <c r="BZ62" s="1242"/>
      <c r="CA62" s="1242"/>
      <c r="CB62" s="1242"/>
      <c r="CC62" s="1242"/>
      <c r="CD62" s="1242"/>
      <c r="CE62" s="1242"/>
      <c r="CF62" s="1242"/>
      <c r="CG62" s="1242"/>
      <c r="CH62" s="1242"/>
      <c r="CI62" s="1242"/>
      <c r="CJ62" s="1242"/>
      <c r="CK62" s="1242"/>
      <c r="CL62" s="1242"/>
      <c r="CM62" s="1242"/>
      <c r="CN62" s="1242"/>
      <c r="CO62" s="1242"/>
      <c r="CP62" s="1242"/>
      <c r="CQ62" s="1242"/>
      <c r="CR62" s="1242"/>
      <c r="CS62" s="1242"/>
      <c r="CT62" s="1242"/>
      <c r="CU62" s="1242"/>
      <c r="CV62" s="1242"/>
      <c r="CW62" s="1242"/>
      <c r="CX62" s="1242"/>
      <c r="CY62" s="1242"/>
      <c r="CZ62" s="1242"/>
      <c r="DA62" s="1242"/>
      <c r="DB62" s="1242"/>
    </row>
    <row r="63" spans="1:106" s="1310" customFormat="1">
      <c r="K63" s="1380"/>
      <c r="Z63" s="1242"/>
      <c r="AA63" s="1330"/>
      <c r="AB63" s="1330"/>
      <c r="AC63" s="1330"/>
      <c r="AD63" s="1330"/>
      <c r="AE63" s="1330"/>
      <c r="AF63" s="1242"/>
      <c r="AG63" s="1242"/>
      <c r="AH63" s="1242"/>
      <c r="AI63" s="1242"/>
      <c r="AX63" s="8"/>
      <c r="BC63" s="1242"/>
      <c r="BD63" s="1330"/>
      <c r="BE63" s="1330"/>
      <c r="BF63" s="1330"/>
      <c r="BG63" s="1330"/>
      <c r="BH63" s="1242"/>
      <c r="BI63" s="109"/>
      <c r="BJ63" s="109"/>
      <c r="BK63" s="109"/>
      <c r="BL63" s="109"/>
      <c r="BR63" s="1242"/>
      <c r="BS63" s="1242"/>
      <c r="BT63" s="1242"/>
      <c r="BU63" s="1242"/>
      <c r="BV63" s="128"/>
      <c r="BW63" s="1242"/>
      <c r="BX63" s="1242"/>
      <c r="BY63" s="1242"/>
      <c r="BZ63" s="1242"/>
      <c r="CA63" s="1242"/>
      <c r="CB63" s="1242"/>
      <c r="CC63" s="1242"/>
      <c r="CD63" s="1242"/>
      <c r="CE63" s="1242"/>
      <c r="CF63" s="1242"/>
      <c r="CG63" s="1242"/>
      <c r="CH63" s="1242"/>
      <c r="CI63" s="1242"/>
      <c r="CJ63" s="1242"/>
      <c r="CK63" s="1242"/>
      <c r="CL63" s="1242"/>
      <c r="CM63" s="1242"/>
      <c r="CN63" s="1242"/>
      <c r="CO63" s="1242"/>
      <c r="CP63" s="1242"/>
      <c r="CQ63" s="1242"/>
      <c r="CR63" s="1242"/>
      <c r="CS63" s="1242"/>
      <c r="CT63" s="1242"/>
      <c r="CU63" s="1242"/>
      <c r="CV63" s="1242"/>
      <c r="CW63" s="1242"/>
      <c r="CX63" s="1242"/>
      <c r="CY63" s="1242"/>
      <c r="CZ63" s="1242"/>
      <c r="DA63" s="1242"/>
      <c r="DB63" s="1242"/>
    </row>
    <row r="64" spans="1:106" s="1310" customFormat="1">
      <c r="Z64" s="1242"/>
      <c r="AA64" s="1330"/>
      <c r="AB64" s="1330"/>
      <c r="AC64" s="1330"/>
      <c r="AD64" s="1330"/>
      <c r="AE64" s="1330"/>
      <c r="AF64" s="1242"/>
      <c r="AG64" s="1242"/>
      <c r="AH64" s="1242"/>
      <c r="AI64" s="1242"/>
      <c r="AX64" s="8"/>
      <c r="BC64" s="1242"/>
      <c r="BD64" s="1330"/>
      <c r="BE64" s="1330"/>
      <c r="BF64" s="1330"/>
      <c r="BG64" s="1330"/>
      <c r="BH64" s="1242"/>
      <c r="BI64" s="109"/>
      <c r="BJ64" s="109"/>
      <c r="BK64" s="109"/>
      <c r="BL64" s="109"/>
      <c r="BR64" s="1242"/>
      <c r="BS64" s="1242"/>
      <c r="BT64" s="1242"/>
      <c r="BU64" s="1242"/>
      <c r="BV64" s="128"/>
      <c r="BW64" s="1242"/>
      <c r="BX64" s="1242"/>
      <c r="BY64" s="1242"/>
      <c r="BZ64" s="1242"/>
      <c r="CA64" s="1242"/>
      <c r="CB64" s="1242"/>
      <c r="CC64" s="1242"/>
      <c r="CD64" s="1242"/>
      <c r="CE64" s="1242"/>
      <c r="CF64" s="1242"/>
      <c r="CG64" s="1242"/>
      <c r="CH64" s="1242"/>
      <c r="CI64" s="1242"/>
      <c r="CJ64" s="1242"/>
      <c r="CK64" s="1242"/>
      <c r="CL64" s="1242"/>
      <c r="CM64" s="1242"/>
      <c r="CN64" s="1242"/>
      <c r="CO64" s="1242"/>
      <c r="CP64" s="1242"/>
      <c r="CQ64" s="1242"/>
      <c r="CR64" s="1242"/>
      <c r="CS64" s="1242"/>
      <c r="CT64" s="1242"/>
      <c r="CU64" s="1242"/>
      <c r="CV64" s="1242"/>
      <c r="CW64" s="1242"/>
      <c r="CX64" s="1242"/>
      <c r="CY64" s="1242"/>
      <c r="CZ64" s="1242"/>
      <c r="DA64" s="1242"/>
      <c r="DB64" s="1242"/>
    </row>
    <row r="65" spans="10:106" s="1310" customFormat="1">
      <c r="Z65" s="1242"/>
      <c r="AA65" s="1242"/>
      <c r="AB65" s="1242"/>
      <c r="AC65" s="1242"/>
      <c r="AD65" s="1242"/>
      <c r="AE65" s="1330"/>
      <c r="AF65" s="1242"/>
      <c r="AG65" s="1242"/>
      <c r="AH65" s="1242"/>
      <c r="AI65" s="1242"/>
      <c r="AX65" s="8"/>
      <c r="BC65" s="1242"/>
      <c r="BD65" s="1330"/>
      <c r="BE65" s="1330"/>
      <c r="BF65" s="1330"/>
      <c r="BG65" s="1330"/>
      <c r="BH65" s="1242"/>
      <c r="BI65" s="109"/>
      <c r="BJ65" s="109"/>
      <c r="BK65" s="109"/>
      <c r="BL65" s="109"/>
      <c r="BR65" s="1242"/>
      <c r="BS65" s="1242"/>
      <c r="BT65" s="1242"/>
      <c r="BU65" s="1242"/>
      <c r="BV65" s="128"/>
      <c r="BW65" s="1242"/>
      <c r="BX65" s="1242"/>
      <c r="BY65" s="1242"/>
      <c r="BZ65" s="1242"/>
      <c r="CA65" s="1242"/>
      <c r="CB65" s="1242"/>
      <c r="CC65" s="1242"/>
      <c r="CD65" s="1242"/>
      <c r="CE65" s="1242"/>
      <c r="CF65" s="1242"/>
      <c r="CG65" s="1242"/>
      <c r="CH65" s="1242"/>
      <c r="CI65" s="1242"/>
      <c r="CJ65" s="1242"/>
      <c r="CK65" s="1242"/>
      <c r="CL65" s="1242"/>
      <c r="CM65" s="1242"/>
      <c r="CN65" s="1242"/>
      <c r="CO65" s="1242"/>
      <c r="CP65" s="1242"/>
      <c r="CQ65" s="1242"/>
      <c r="CR65" s="1242"/>
      <c r="CS65" s="1242"/>
      <c r="CT65" s="1242"/>
      <c r="CU65" s="1242"/>
      <c r="CV65" s="1242"/>
      <c r="CW65" s="1242"/>
      <c r="CX65" s="1242"/>
      <c r="CY65" s="1242"/>
      <c r="CZ65" s="1242"/>
      <c r="DA65" s="1242"/>
      <c r="DB65" s="1242"/>
    </row>
    <row r="66" spans="10:106" s="1310" customFormat="1">
      <c r="J66" s="1380"/>
      <c r="Z66" s="1242"/>
      <c r="AA66" s="1242"/>
      <c r="AB66" s="1242"/>
      <c r="AC66" s="1242"/>
      <c r="AD66" s="1242"/>
      <c r="AE66" s="1330"/>
      <c r="AF66" s="1330"/>
      <c r="AG66" s="1330"/>
      <c r="AH66" s="1330"/>
      <c r="AI66" s="1330"/>
      <c r="AX66" s="8"/>
      <c r="BC66" s="1242"/>
      <c r="BD66" s="1330"/>
      <c r="BE66" s="1330"/>
      <c r="BF66" s="1330"/>
      <c r="BG66" s="1330"/>
      <c r="BH66" s="1242"/>
      <c r="BI66" s="109"/>
      <c r="BJ66" s="109"/>
      <c r="BK66" s="109"/>
      <c r="BL66" s="109"/>
      <c r="BR66" s="1242"/>
      <c r="BS66" s="1242"/>
      <c r="BT66" s="1242"/>
      <c r="BU66" s="1242"/>
      <c r="BV66" s="128"/>
      <c r="BW66" s="1242"/>
      <c r="BX66" s="1242"/>
      <c r="BY66" s="1242"/>
      <c r="BZ66" s="1242"/>
      <c r="CA66" s="1242"/>
      <c r="CB66" s="1242"/>
      <c r="CC66" s="1242"/>
      <c r="CD66" s="1242"/>
      <c r="CE66" s="1242"/>
      <c r="CF66" s="1242"/>
      <c r="CG66" s="1242"/>
      <c r="CH66" s="1242"/>
      <c r="CI66" s="1242"/>
      <c r="CJ66" s="1242"/>
      <c r="CK66" s="1242"/>
      <c r="CL66" s="1242"/>
      <c r="CM66" s="1242"/>
      <c r="CN66" s="1242"/>
      <c r="CO66" s="1242"/>
      <c r="CP66" s="1242"/>
      <c r="CQ66" s="1242"/>
      <c r="CR66" s="1242"/>
      <c r="CS66" s="1242"/>
      <c r="CT66" s="1242"/>
      <c r="CU66" s="1242"/>
      <c r="CV66" s="1242"/>
      <c r="CW66" s="1242"/>
      <c r="CX66" s="1242"/>
      <c r="CY66" s="1242"/>
      <c r="CZ66" s="1242"/>
      <c r="DA66" s="1242"/>
      <c r="DB66" s="1242"/>
    </row>
    <row r="67" spans="10:106" s="1310" customFormat="1">
      <c r="Z67" s="1242"/>
      <c r="AA67" s="1242"/>
      <c r="AB67" s="1242"/>
      <c r="AC67" s="1242"/>
      <c r="AD67" s="1242"/>
      <c r="AE67" s="1242"/>
      <c r="AF67" s="1242"/>
      <c r="AG67" s="1242"/>
      <c r="AH67" s="1242"/>
      <c r="AI67" s="1242"/>
      <c r="AX67" s="1242"/>
      <c r="BC67" s="1242"/>
      <c r="BD67" s="1242"/>
      <c r="BE67" s="1242"/>
      <c r="BF67" s="1242"/>
      <c r="BG67" s="1242"/>
      <c r="BH67" s="1242"/>
      <c r="BI67" s="109"/>
      <c r="BJ67" s="109"/>
      <c r="BK67" s="109"/>
      <c r="BL67" s="109"/>
      <c r="BR67" s="1242"/>
      <c r="BS67" s="1242"/>
      <c r="BT67" s="1242"/>
      <c r="BU67" s="1242"/>
      <c r="BV67" s="1242"/>
      <c r="BW67" s="1242"/>
      <c r="BX67" s="1242"/>
      <c r="BY67" s="1242"/>
      <c r="BZ67" s="1242"/>
      <c r="CA67" s="1242"/>
      <c r="CB67" s="1242"/>
      <c r="CC67" s="1242"/>
      <c r="CD67" s="1242"/>
      <c r="CE67" s="1242"/>
      <c r="CF67" s="1242"/>
      <c r="CG67" s="1242"/>
      <c r="CH67" s="1242"/>
      <c r="CI67" s="1242"/>
      <c r="CJ67" s="1242"/>
      <c r="CK67" s="1242"/>
      <c r="CL67" s="1242"/>
      <c r="CM67" s="1242"/>
      <c r="CN67" s="1242"/>
      <c r="CO67" s="1242"/>
      <c r="CP67" s="1242"/>
      <c r="CQ67" s="1242"/>
      <c r="CR67" s="1242"/>
      <c r="CS67" s="1242"/>
      <c r="CT67" s="1242"/>
      <c r="CU67" s="1242"/>
      <c r="CV67" s="1242"/>
      <c r="CW67" s="1242"/>
      <c r="CX67" s="1242"/>
      <c r="CY67" s="1242"/>
      <c r="CZ67" s="1242"/>
      <c r="DA67" s="1242"/>
      <c r="DB67" s="1242"/>
    </row>
    <row r="68" spans="10:106" s="1310" customFormat="1">
      <c r="Z68" s="1242"/>
      <c r="AA68" s="1242"/>
      <c r="AB68" s="1242"/>
      <c r="AC68" s="1242"/>
      <c r="AD68" s="1242"/>
      <c r="AE68" s="1242"/>
      <c r="AF68" s="1242"/>
      <c r="AG68" s="1242"/>
      <c r="AH68" s="1242"/>
      <c r="AI68" s="1242"/>
      <c r="AX68" s="1242"/>
      <c r="BC68" s="1242"/>
      <c r="BD68" s="1242"/>
      <c r="BE68" s="1242"/>
      <c r="BF68" s="1242"/>
      <c r="BG68" s="1242"/>
      <c r="BH68" s="1242"/>
      <c r="BI68" s="109"/>
      <c r="BJ68" s="109"/>
      <c r="BK68" s="109"/>
      <c r="BL68" s="109"/>
      <c r="BR68" s="1242"/>
      <c r="BS68" s="1242"/>
      <c r="BT68" s="1242"/>
      <c r="BU68" s="1242"/>
      <c r="BV68" s="1242"/>
      <c r="BW68" s="1242"/>
      <c r="BX68" s="1242"/>
      <c r="BY68" s="1242"/>
      <c r="BZ68" s="1242"/>
      <c r="CA68" s="1242"/>
      <c r="CB68" s="1242"/>
      <c r="CC68" s="1242"/>
      <c r="CD68" s="1242"/>
      <c r="CE68" s="1242"/>
      <c r="CF68" s="1242"/>
      <c r="CG68" s="1242"/>
      <c r="CH68" s="1242"/>
      <c r="CI68" s="1242"/>
      <c r="CJ68" s="1242"/>
      <c r="CK68" s="1242"/>
      <c r="CL68" s="1242"/>
      <c r="CM68" s="1242"/>
      <c r="CN68" s="1242"/>
      <c r="CO68" s="1242"/>
      <c r="CP68" s="1242"/>
      <c r="CQ68" s="1242"/>
      <c r="CR68" s="1242"/>
      <c r="CS68" s="1242"/>
      <c r="CT68" s="1242"/>
      <c r="CU68" s="1242"/>
      <c r="CV68" s="1242"/>
      <c r="CW68" s="1242"/>
      <c r="CX68" s="1242"/>
      <c r="CY68" s="1242"/>
      <c r="CZ68" s="1242"/>
      <c r="DA68" s="1242"/>
      <c r="DB68" s="1242"/>
    </row>
    <row r="69" spans="10:106" s="1310" customFormat="1"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  <c r="AX69" s="1242"/>
      <c r="BC69" s="1242"/>
      <c r="BD69" s="1242"/>
      <c r="BE69" s="1242"/>
      <c r="BF69" s="1242"/>
      <c r="BG69" s="1242"/>
      <c r="BH69" s="1242"/>
      <c r="BI69" s="109"/>
      <c r="BJ69" s="109"/>
      <c r="BK69" s="109"/>
      <c r="BL69" s="109"/>
      <c r="BR69" s="1242"/>
      <c r="BS69" s="1242"/>
      <c r="BT69" s="1242"/>
      <c r="BU69" s="1242"/>
      <c r="BV69" s="1242"/>
      <c r="BW69" s="1242"/>
      <c r="BX69" s="1242"/>
      <c r="BY69" s="1242"/>
      <c r="BZ69" s="1242"/>
      <c r="CA69" s="1242"/>
      <c r="CB69" s="1242"/>
      <c r="CC69" s="1242"/>
      <c r="CD69" s="1242"/>
      <c r="CE69" s="1242"/>
      <c r="CF69" s="1242"/>
      <c r="CG69" s="1242"/>
      <c r="CH69" s="1242"/>
      <c r="CI69" s="1242"/>
      <c r="CJ69" s="1242"/>
      <c r="CK69" s="1242"/>
      <c r="CL69" s="1242"/>
      <c r="CM69" s="1242"/>
      <c r="CN69" s="1242"/>
      <c r="CO69" s="1242"/>
      <c r="CP69" s="1242"/>
      <c r="CQ69" s="1242"/>
      <c r="CR69" s="1242"/>
      <c r="CS69" s="1242"/>
      <c r="CT69" s="1242"/>
      <c r="CU69" s="1242"/>
      <c r="CV69" s="1242"/>
      <c r="CW69" s="1242"/>
      <c r="CX69" s="1242"/>
      <c r="CY69" s="1242"/>
      <c r="CZ69" s="1242"/>
      <c r="DA69" s="1242"/>
      <c r="DB69" s="1242"/>
    </row>
    <row r="70" spans="10:106" s="1310" customFormat="1">
      <c r="Z70" s="1242"/>
      <c r="AA70" s="1242"/>
      <c r="AB70" s="1242"/>
      <c r="AC70" s="1242"/>
      <c r="AD70" s="1242"/>
      <c r="AE70" s="1330"/>
      <c r="AF70" s="1330"/>
      <c r="AG70" s="1330"/>
      <c r="AH70" s="1330"/>
      <c r="AI70" s="1330"/>
      <c r="AX70" s="8"/>
      <c r="BC70" s="1242"/>
      <c r="BD70" s="1330"/>
      <c r="BE70" s="1330"/>
      <c r="BF70" s="1330"/>
      <c r="BG70" s="1330"/>
      <c r="BH70" s="1242"/>
      <c r="BI70" s="109"/>
      <c r="BJ70" s="109"/>
      <c r="BK70" s="109"/>
      <c r="BL70" s="109"/>
      <c r="BR70" s="1242"/>
      <c r="BS70" s="1242"/>
      <c r="BT70" s="1242"/>
      <c r="BU70" s="1242"/>
      <c r="BV70" s="1242"/>
      <c r="BW70" s="1242"/>
      <c r="BX70" s="1242"/>
      <c r="BY70" s="1242"/>
      <c r="BZ70" s="1242"/>
      <c r="CA70" s="1242"/>
      <c r="CB70" s="1242"/>
      <c r="CC70" s="1242"/>
      <c r="CD70" s="1242"/>
      <c r="CE70" s="1242"/>
      <c r="CF70" s="1242"/>
      <c r="CG70" s="1242"/>
      <c r="CH70" s="1242"/>
      <c r="CI70" s="1242"/>
      <c r="CJ70" s="1242"/>
      <c r="CK70" s="1242"/>
      <c r="CL70" s="1242"/>
      <c r="CM70" s="1242"/>
      <c r="CN70" s="1242"/>
      <c r="CO70" s="1242"/>
      <c r="CP70" s="1242"/>
      <c r="CQ70" s="1242"/>
      <c r="CR70" s="1242"/>
      <c r="CS70" s="1242"/>
      <c r="CT70" s="1242"/>
      <c r="CU70" s="1242"/>
      <c r="CV70" s="1242"/>
      <c r="CW70" s="1242"/>
      <c r="CX70" s="1242"/>
      <c r="CY70" s="1242"/>
      <c r="CZ70" s="1242"/>
      <c r="DA70" s="1242"/>
      <c r="DB70" s="1242"/>
    </row>
    <row r="71" spans="10:106" s="1310" customFormat="1">
      <c r="Z71" s="1242"/>
      <c r="AA71" s="1242"/>
      <c r="AB71" s="1242"/>
      <c r="AC71" s="1242"/>
      <c r="AD71" s="1242"/>
      <c r="AE71" s="1242"/>
      <c r="AF71" s="1330"/>
      <c r="AG71" s="1330"/>
      <c r="AH71" s="1330"/>
      <c r="AI71" s="1330"/>
      <c r="AX71" s="8"/>
      <c r="AY71" s="1242"/>
      <c r="AZ71" s="1242"/>
      <c r="BA71" s="1242"/>
      <c r="BB71" s="1242"/>
      <c r="BC71" s="1242"/>
      <c r="BD71" s="1330"/>
      <c r="BE71" s="1330"/>
      <c r="BF71" s="1330"/>
      <c r="BG71" s="1330"/>
      <c r="BH71" s="1242"/>
      <c r="BI71" s="109"/>
      <c r="BJ71" s="109"/>
      <c r="BK71" s="109"/>
      <c r="BL71" s="109"/>
      <c r="BR71" s="1242"/>
      <c r="BS71" s="1242"/>
      <c r="BT71" s="1242"/>
      <c r="BU71" s="1242"/>
      <c r="BV71" s="1242"/>
      <c r="BW71" s="1242"/>
      <c r="BX71" s="1242"/>
      <c r="BY71" s="1242"/>
      <c r="BZ71" s="1242"/>
      <c r="CA71" s="1242"/>
      <c r="CB71" s="1242"/>
      <c r="CC71" s="1242"/>
      <c r="CD71" s="1242"/>
      <c r="CE71" s="1242"/>
      <c r="CF71" s="1242"/>
      <c r="CG71" s="1242"/>
      <c r="CH71" s="1242"/>
      <c r="CI71" s="1242"/>
      <c r="CJ71" s="1242"/>
      <c r="CK71" s="1242"/>
      <c r="CL71" s="1242"/>
      <c r="CM71" s="1242"/>
      <c r="CN71" s="1242"/>
      <c r="CO71" s="1242"/>
      <c r="CP71" s="1242"/>
      <c r="CQ71" s="1242"/>
      <c r="CR71" s="1242"/>
      <c r="CS71" s="1242"/>
      <c r="CT71" s="1242"/>
      <c r="CU71" s="1242"/>
      <c r="CV71" s="1242"/>
      <c r="CW71" s="1242"/>
      <c r="CX71" s="1242"/>
      <c r="CY71" s="1242"/>
      <c r="CZ71" s="1242"/>
      <c r="DA71" s="1242"/>
      <c r="DB71" s="1242"/>
    </row>
    <row r="72" spans="10:106" s="1310" customFormat="1">
      <c r="Z72" s="1242"/>
      <c r="AA72" s="1242"/>
      <c r="AB72" s="1242"/>
      <c r="AC72" s="1242"/>
      <c r="AD72" s="1242"/>
      <c r="AE72" s="1242"/>
      <c r="AF72" s="1330"/>
      <c r="AG72" s="1330"/>
      <c r="AH72" s="1330"/>
      <c r="AI72" s="1330"/>
      <c r="AX72" s="8"/>
      <c r="AY72" s="1242"/>
      <c r="AZ72" s="1242"/>
      <c r="BA72" s="1242"/>
      <c r="BB72" s="1242"/>
      <c r="BC72" s="1242"/>
      <c r="BD72" s="1330"/>
      <c r="BE72" s="1330"/>
      <c r="BF72" s="1330"/>
      <c r="BG72" s="1330"/>
      <c r="BH72" s="1242"/>
      <c r="BI72" s="109"/>
      <c r="BJ72" s="109"/>
      <c r="BK72" s="109"/>
      <c r="BL72" s="109"/>
      <c r="BR72" s="1242"/>
      <c r="BS72" s="1242"/>
      <c r="BT72" s="1242"/>
      <c r="BU72" s="1242"/>
      <c r="BV72" s="1242"/>
      <c r="BW72" s="1242"/>
      <c r="BX72" s="1242"/>
      <c r="BY72" s="1242"/>
      <c r="BZ72" s="1242"/>
      <c r="CA72" s="1242"/>
      <c r="CB72" s="1242"/>
      <c r="CC72" s="1242"/>
      <c r="CD72" s="1242"/>
      <c r="CE72" s="1242"/>
      <c r="CF72" s="1242"/>
      <c r="CG72" s="1242"/>
      <c r="CH72" s="1242"/>
      <c r="CI72" s="1242"/>
      <c r="CJ72" s="1242"/>
      <c r="CK72" s="1242"/>
      <c r="CL72" s="1242"/>
      <c r="CM72" s="1242"/>
      <c r="CN72" s="1242"/>
      <c r="CO72" s="1242"/>
      <c r="CP72" s="1242"/>
      <c r="CQ72" s="1242"/>
      <c r="CR72" s="1242"/>
      <c r="CS72" s="1242"/>
      <c r="CT72" s="1242"/>
      <c r="CU72" s="1242"/>
      <c r="CV72" s="1242"/>
      <c r="CW72" s="1242"/>
      <c r="CX72" s="1242"/>
      <c r="CY72" s="1242"/>
      <c r="CZ72" s="1242"/>
      <c r="DA72" s="1242"/>
      <c r="DB72" s="1242"/>
    </row>
    <row r="73" spans="10:106" s="1310" customFormat="1">
      <c r="Z73" s="1242"/>
      <c r="AA73" s="1242"/>
      <c r="AB73" s="1242"/>
      <c r="AC73" s="1242"/>
      <c r="AD73" s="1242"/>
      <c r="AE73" s="1242"/>
      <c r="AF73" s="1330"/>
      <c r="AG73" s="1330"/>
      <c r="AH73" s="1330"/>
      <c r="AI73" s="1330"/>
      <c r="AX73" s="8"/>
      <c r="AY73" s="1242"/>
      <c r="AZ73" s="1242"/>
      <c r="BA73" s="1242"/>
      <c r="BB73" s="1242"/>
      <c r="BC73" s="1242"/>
      <c r="BD73" s="1330"/>
      <c r="BE73" s="1330"/>
      <c r="BF73" s="1330"/>
      <c r="BG73" s="1330"/>
      <c r="BH73" s="1242"/>
      <c r="BI73" s="109"/>
      <c r="BJ73" s="109"/>
      <c r="BK73" s="109"/>
      <c r="BL73" s="109"/>
      <c r="BR73" s="1242"/>
      <c r="BS73" s="1242"/>
      <c r="BT73" s="1242"/>
      <c r="BU73" s="1242"/>
      <c r="BV73" s="1242"/>
      <c r="BW73" s="1242"/>
      <c r="BX73" s="1242"/>
      <c r="BY73" s="1242"/>
      <c r="BZ73" s="1242"/>
      <c r="CA73" s="1242"/>
      <c r="CB73" s="1242"/>
      <c r="CC73" s="1242"/>
      <c r="CD73" s="1242"/>
      <c r="CE73" s="1242"/>
      <c r="CF73" s="1242"/>
      <c r="CG73" s="1242"/>
      <c r="CH73" s="1242"/>
      <c r="CI73" s="1242"/>
      <c r="CJ73" s="1242"/>
      <c r="CK73" s="1242"/>
      <c r="CL73" s="1242"/>
      <c r="CM73" s="1242"/>
      <c r="CN73" s="1242"/>
      <c r="CO73" s="1242"/>
      <c r="CP73" s="1242"/>
      <c r="CQ73" s="1242"/>
      <c r="CR73" s="1242"/>
      <c r="CS73" s="1242"/>
      <c r="CT73" s="1242"/>
      <c r="CU73" s="1242"/>
      <c r="CV73" s="1242"/>
      <c r="CW73" s="1242"/>
      <c r="CX73" s="1242"/>
      <c r="CY73" s="1242"/>
      <c r="CZ73" s="1242"/>
      <c r="DA73" s="1242"/>
      <c r="DB73" s="1242"/>
    </row>
    <row r="74" spans="10:106" s="1310" customFormat="1">
      <c r="Z74" s="1242"/>
      <c r="AA74" s="1242"/>
      <c r="AB74" s="1242"/>
      <c r="AC74" s="1242"/>
      <c r="AD74" s="1242"/>
      <c r="AE74" s="1242"/>
      <c r="AF74" s="1242"/>
      <c r="AG74" s="1242"/>
      <c r="AH74" s="1242"/>
      <c r="AI74" s="1242"/>
      <c r="AX74" s="1242"/>
      <c r="BC74" s="1242"/>
      <c r="BD74" s="1330"/>
      <c r="BE74" s="1330"/>
      <c r="BF74" s="1330"/>
      <c r="BG74" s="1330"/>
      <c r="BH74" s="1242"/>
      <c r="BI74" s="109"/>
      <c r="BJ74" s="109"/>
      <c r="BK74" s="109"/>
      <c r="BL74" s="109"/>
      <c r="BR74" s="1242"/>
      <c r="BS74" s="1242"/>
      <c r="BT74" s="1242"/>
      <c r="BU74" s="1242"/>
      <c r="BV74" s="1242"/>
      <c r="BW74" s="1242"/>
      <c r="BX74" s="1242"/>
      <c r="BY74" s="1242"/>
      <c r="BZ74" s="1242"/>
      <c r="CA74" s="1242"/>
      <c r="CB74" s="1242"/>
      <c r="CC74" s="1242"/>
      <c r="CD74" s="1242"/>
      <c r="CE74" s="1242"/>
      <c r="CF74" s="1242"/>
      <c r="CG74" s="1242"/>
      <c r="CH74" s="1242"/>
      <c r="CI74" s="1242"/>
      <c r="CJ74" s="1242"/>
      <c r="CK74" s="1242"/>
      <c r="CL74" s="1242"/>
      <c r="CM74" s="1242"/>
      <c r="CN74" s="1242"/>
      <c r="CO74" s="1242"/>
      <c r="CP74" s="1242"/>
      <c r="CQ74" s="1242"/>
      <c r="CR74" s="1242"/>
      <c r="CS74" s="1242"/>
      <c r="CT74" s="1242"/>
      <c r="CU74" s="1242"/>
      <c r="CV74" s="1242"/>
      <c r="CW74" s="1242"/>
      <c r="CX74" s="1242"/>
      <c r="CY74" s="1242"/>
      <c r="CZ74" s="1242"/>
      <c r="DA74" s="1242"/>
      <c r="DB74" s="1242"/>
    </row>
    <row r="75" spans="10:106" s="1310" customFormat="1">
      <c r="Z75" s="1242"/>
      <c r="AA75" s="1242"/>
      <c r="AB75" s="1242"/>
      <c r="AC75" s="1242"/>
      <c r="AD75" s="1242"/>
      <c r="AE75" s="1242"/>
      <c r="AF75" s="1242"/>
      <c r="AG75" s="1242"/>
      <c r="AH75" s="1242"/>
      <c r="AI75" s="1242"/>
      <c r="AX75" s="1242"/>
      <c r="BC75" s="1242"/>
      <c r="BD75" s="1330"/>
      <c r="BE75" s="1330"/>
      <c r="BF75" s="1330"/>
      <c r="BG75" s="1330"/>
      <c r="BH75" s="1242"/>
      <c r="BI75" s="109"/>
      <c r="BJ75" s="109"/>
      <c r="BK75" s="109"/>
      <c r="BL75" s="109"/>
      <c r="BR75" s="1242"/>
      <c r="BS75" s="1242"/>
      <c r="BT75" s="1242"/>
      <c r="BU75" s="1242"/>
      <c r="BV75" s="1242"/>
      <c r="BW75" s="1242"/>
      <c r="BX75" s="1242"/>
      <c r="BY75" s="1242"/>
      <c r="BZ75" s="1242"/>
      <c r="CA75" s="1242"/>
      <c r="CB75" s="1242"/>
      <c r="CC75" s="1242"/>
      <c r="CD75" s="1242"/>
      <c r="CE75" s="1242"/>
      <c r="CF75" s="1242"/>
      <c r="CG75" s="1242"/>
      <c r="CH75" s="1242"/>
      <c r="CI75" s="1242"/>
      <c r="CJ75" s="1242"/>
      <c r="CK75" s="1242"/>
      <c r="CL75" s="1242"/>
      <c r="CM75" s="1242"/>
      <c r="CN75" s="1242"/>
      <c r="CO75" s="1242"/>
      <c r="CP75" s="1242"/>
      <c r="CQ75" s="1242"/>
      <c r="CR75" s="1242"/>
      <c r="CS75" s="1242"/>
      <c r="CT75" s="1242"/>
      <c r="CU75" s="1242"/>
      <c r="CV75" s="1242"/>
      <c r="CW75" s="1242"/>
      <c r="CX75" s="1242"/>
      <c r="CY75" s="1242"/>
      <c r="CZ75" s="1242"/>
      <c r="DA75" s="1242"/>
      <c r="DB75" s="1242"/>
    </row>
    <row r="76" spans="10:106" s="1310" customFormat="1">
      <c r="Z76" s="1242"/>
      <c r="AA76" s="1242"/>
      <c r="AB76" s="1242"/>
      <c r="AC76" s="1242"/>
      <c r="AD76" s="1242"/>
      <c r="AE76" s="1242"/>
      <c r="AF76" s="1242"/>
      <c r="AG76" s="1242"/>
      <c r="AH76" s="1242"/>
      <c r="AI76" s="1242"/>
      <c r="AX76" s="1242"/>
      <c r="BC76" s="1242"/>
      <c r="BD76" s="1330"/>
      <c r="BE76" s="1330"/>
      <c r="BF76" s="1330"/>
      <c r="BG76" s="1330"/>
      <c r="BH76" s="1242"/>
      <c r="BI76" s="109"/>
      <c r="BJ76" s="109"/>
      <c r="BK76" s="109"/>
      <c r="BL76" s="109"/>
      <c r="BR76" s="1242"/>
      <c r="BS76" s="1242"/>
      <c r="BT76" s="1242"/>
      <c r="BU76" s="1242"/>
      <c r="BV76" s="1242"/>
      <c r="BW76" s="1242"/>
      <c r="BX76" s="1242"/>
      <c r="BY76" s="1242"/>
      <c r="BZ76" s="1242"/>
      <c r="CA76" s="1242"/>
      <c r="CB76" s="1242"/>
      <c r="CC76" s="1242"/>
      <c r="CD76" s="1242"/>
      <c r="CE76" s="1242"/>
      <c r="CF76" s="1242"/>
      <c r="CG76" s="1242"/>
      <c r="CH76" s="1242"/>
      <c r="CI76" s="1242"/>
      <c r="CJ76" s="1242"/>
      <c r="CK76" s="1242"/>
      <c r="CL76" s="1242"/>
      <c r="CM76" s="1242"/>
      <c r="CN76" s="1242"/>
      <c r="CO76" s="1242"/>
      <c r="CP76" s="1242"/>
      <c r="CQ76" s="1242"/>
      <c r="CR76" s="1242"/>
      <c r="CS76" s="1242"/>
      <c r="CT76" s="1242"/>
      <c r="CU76" s="1242"/>
      <c r="CV76" s="1242"/>
      <c r="CW76" s="1242"/>
      <c r="CX76" s="1242"/>
      <c r="CY76" s="1242"/>
      <c r="CZ76" s="1242"/>
      <c r="DA76" s="1242"/>
      <c r="DB76" s="1242"/>
    </row>
    <row r="77" spans="10:106" s="1310" customFormat="1">
      <c r="Z77" s="1242"/>
      <c r="AA77" s="1242"/>
      <c r="AB77" s="1242"/>
      <c r="AC77" s="1242"/>
      <c r="AD77" s="1242"/>
      <c r="AE77" s="1242"/>
      <c r="AF77" s="1242"/>
      <c r="AG77" s="1242"/>
      <c r="AH77" s="1242"/>
      <c r="AI77" s="1242"/>
      <c r="AX77" s="1242"/>
      <c r="BC77" s="1242"/>
      <c r="BD77" s="1330"/>
      <c r="BE77" s="1330"/>
      <c r="BF77" s="1330"/>
      <c r="BG77" s="1330"/>
      <c r="BH77" s="1242"/>
      <c r="BI77" s="109"/>
      <c r="BJ77" s="109"/>
      <c r="BK77" s="109"/>
      <c r="BL77" s="109"/>
      <c r="BR77" s="1242"/>
      <c r="BS77" s="1242"/>
      <c r="BT77" s="1242"/>
      <c r="BU77" s="1242"/>
      <c r="BV77" s="1242"/>
      <c r="BW77" s="1242"/>
      <c r="BX77" s="1242"/>
      <c r="BY77" s="1242"/>
      <c r="BZ77" s="1242"/>
      <c r="CA77" s="1242"/>
      <c r="CB77" s="1242"/>
      <c r="CC77" s="1242"/>
      <c r="CD77" s="1242"/>
      <c r="CE77" s="1242"/>
      <c r="CF77" s="1242"/>
      <c r="CG77" s="1242"/>
      <c r="CH77" s="1242"/>
      <c r="CI77" s="1242"/>
      <c r="CJ77" s="1242"/>
      <c r="CK77" s="1242"/>
      <c r="CL77" s="1242"/>
      <c r="CM77" s="1242"/>
      <c r="CN77" s="1242"/>
      <c r="CO77" s="1242"/>
      <c r="CP77" s="1242"/>
      <c r="CQ77" s="1242"/>
      <c r="CR77" s="1242"/>
      <c r="CS77" s="1242"/>
      <c r="CT77" s="1242"/>
      <c r="CU77" s="1242"/>
      <c r="CV77" s="1242"/>
      <c r="CW77" s="1242"/>
      <c r="CX77" s="1242"/>
      <c r="CY77" s="1242"/>
      <c r="CZ77" s="1242"/>
      <c r="DA77" s="1242"/>
      <c r="DB77" s="1242"/>
    </row>
    <row r="78" spans="10:106" s="1310" customFormat="1">
      <c r="Z78" s="1242"/>
      <c r="AA78" s="1242"/>
      <c r="AB78" s="1242"/>
      <c r="AC78" s="1242"/>
      <c r="AD78" s="1242"/>
      <c r="AE78" s="1242"/>
      <c r="AF78" s="1242"/>
      <c r="AG78" s="1242"/>
      <c r="AH78" s="1242"/>
      <c r="AI78" s="1242"/>
      <c r="AX78" s="1242"/>
      <c r="BC78" s="1242"/>
      <c r="BD78" s="1330"/>
      <c r="BE78" s="1330"/>
      <c r="BF78" s="1330"/>
      <c r="BG78" s="1330"/>
      <c r="BH78" s="1242"/>
      <c r="BI78" s="109"/>
      <c r="BJ78" s="109"/>
      <c r="BK78" s="109"/>
      <c r="BL78" s="109"/>
      <c r="BR78" s="1242"/>
      <c r="BS78" s="1242"/>
      <c r="BT78" s="1242"/>
      <c r="BU78" s="1242"/>
      <c r="BV78" s="1242"/>
      <c r="BW78" s="1242"/>
      <c r="BX78" s="1242"/>
      <c r="BY78" s="1242"/>
      <c r="BZ78" s="1242"/>
      <c r="CA78" s="1242"/>
      <c r="CB78" s="1242"/>
      <c r="CC78" s="1242"/>
      <c r="CD78" s="1242"/>
      <c r="CE78" s="1242"/>
      <c r="CF78" s="1242"/>
      <c r="CG78" s="1242"/>
      <c r="CH78" s="1242"/>
      <c r="CI78" s="1242"/>
      <c r="CJ78" s="1242"/>
      <c r="CK78" s="1242"/>
      <c r="CL78" s="1242"/>
      <c r="CM78" s="1242"/>
      <c r="CN78" s="1242"/>
      <c r="CO78" s="1242"/>
      <c r="CP78" s="1242"/>
      <c r="CQ78" s="1242"/>
      <c r="CR78" s="1242"/>
      <c r="CS78" s="1242"/>
      <c r="CT78" s="1242"/>
      <c r="CU78" s="1242"/>
      <c r="CV78" s="1242"/>
      <c r="CW78" s="1242"/>
      <c r="CX78" s="1242"/>
      <c r="CY78" s="1242"/>
      <c r="CZ78" s="1242"/>
      <c r="DA78" s="1242"/>
      <c r="DB78" s="1242"/>
    </row>
    <row r="79" spans="10:106" s="1310" customFormat="1">
      <c r="Z79" s="1242"/>
      <c r="AA79" s="1242"/>
      <c r="AB79" s="1242"/>
      <c r="AC79" s="1242"/>
      <c r="AD79" s="1242"/>
      <c r="AE79" s="1242"/>
      <c r="AF79" s="1242"/>
      <c r="AG79" s="1242"/>
      <c r="AH79" s="1242"/>
      <c r="AI79" s="1242"/>
      <c r="AX79" s="1242"/>
      <c r="BC79" s="1242"/>
      <c r="BD79" s="1330"/>
      <c r="BE79" s="1330"/>
      <c r="BF79" s="1330"/>
      <c r="BG79" s="1330"/>
      <c r="BH79" s="1242"/>
      <c r="BI79" s="109"/>
      <c r="BJ79" s="109"/>
      <c r="BK79" s="109"/>
      <c r="BL79" s="109"/>
      <c r="BR79" s="1242"/>
      <c r="BS79" s="1242"/>
      <c r="BT79" s="1242"/>
      <c r="BU79" s="1242"/>
      <c r="BV79" s="1242"/>
      <c r="BW79" s="1242"/>
      <c r="BX79" s="1242"/>
      <c r="BY79" s="1242"/>
      <c r="BZ79" s="1242"/>
      <c r="CA79" s="1242"/>
      <c r="CB79" s="1242"/>
      <c r="CC79" s="1242"/>
      <c r="CD79" s="1242"/>
      <c r="CE79" s="1242"/>
      <c r="CF79" s="1242"/>
      <c r="CG79" s="1242"/>
      <c r="CH79" s="1242"/>
      <c r="CI79" s="1242"/>
      <c r="CJ79" s="1242"/>
      <c r="CK79" s="1242"/>
      <c r="CL79" s="1242"/>
      <c r="CM79" s="1242"/>
      <c r="CN79" s="1242"/>
      <c r="CO79" s="1242"/>
      <c r="CP79" s="1242"/>
      <c r="CQ79" s="1242"/>
      <c r="CR79" s="1242"/>
      <c r="CS79" s="1242"/>
      <c r="CT79" s="1242"/>
      <c r="CU79" s="1242"/>
      <c r="CV79" s="1242"/>
      <c r="CW79" s="1242"/>
      <c r="CX79" s="1242"/>
      <c r="CY79" s="1242"/>
      <c r="CZ79" s="1242"/>
      <c r="DA79" s="1242"/>
      <c r="DB79" s="1242"/>
    </row>
    <row r="80" spans="10:106" s="1310" customFormat="1">
      <c r="Z80" s="1242"/>
      <c r="AA80" s="1242"/>
      <c r="AB80" s="1242"/>
      <c r="AC80" s="1242"/>
      <c r="AD80" s="1242"/>
      <c r="AE80" s="1242"/>
      <c r="AF80" s="1242"/>
      <c r="AG80" s="1242"/>
      <c r="AH80" s="1242"/>
      <c r="AI80" s="1242"/>
      <c r="AX80" s="1242"/>
      <c r="BC80" s="1242"/>
      <c r="BD80" s="1330"/>
      <c r="BE80" s="1330"/>
      <c r="BF80" s="1330"/>
      <c r="BG80" s="1330"/>
      <c r="BH80" s="172"/>
      <c r="BI80" s="109"/>
      <c r="BJ80" s="109"/>
      <c r="BK80" s="109"/>
      <c r="BL80" s="109"/>
      <c r="BR80" s="1242"/>
      <c r="BS80" s="1242"/>
      <c r="BT80" s="1242"/>
      <c r="BU80" s="1242"/>
      <c r="BV80" s="1242"/>
      <c r="BW80" s="1242"/>
      <c r="BX80" s="1242"/>
      <c r="BY80" s="1242"/>
      <c r="BZ80" s="1242"/>
      <c r="CA80" s="1242"/>
      <c r="CB80" s="1242"/>
      <c r="CC80" s="1242"/>
      <c r="CD80" s="1242"/>
      <c r="CE80" s="1242"/>
      <c r="CF80" s="1242"/>
      <c r="CG80" s="1242"/>
      <c r="CH80" s="1242"/>
      <c r="CI80" s="1242"/>
      <c r="CJ80" s="1242"/>
      <c r="CK80" s="1242"/>
      <c r="CL80" s="1242"/>
      <c r="CM80" s="1242"/>
      <c r="CN80" s="1242"/>
      <c r="CO80" s="1242"/>
      <c r="CP80" s="1242"/>
      <c r="CQ80" s="1242"/>
      <c r="CR80" s="1242"/>
      <c r="CS80" s="1242"/>
      <c r="CT80" s="1242"/>
      <c r="CU80" s="1242"/>
      <c r="CV80" s="1242"/>
      <c r="CW80" s="1242"/>
      <c r="CX80" s="1242"/>
      <c r="CY80" s="1242"/>
      <c r="CZ80" s="1242"/>
      <c r="DA80" s="1242"/>
      <c r="DB80" s="1242"/>
    </row>
    <row r="81" spans="26:106" s="1310" customFormat="1">
      <c r="Z81" s="1242"/>
      <c r="AA81" s="1242"/>
      <c r="AB81" s="1242"/>
      <c r="AC81" s="1242"/>
      <c r="AD81" s="1242"/>
      <c r="AE81" s="1242"/>
      <c r="AF81" s="1242"/>
      <c r="AG81" s="1242"/>
      <c r="AH81" s="1242"/>
      <c r="AI81" s="1242"/>
      <c r="AX81" s="1242"/>
      <c r="BC81" s="1242"/>
      <c r="BD81" s="1330"/>
      <c r="BE81" s="1330"/>
      <c r="BF81" s="1330"/>
      <c r="BG81" s="1330"/>
      <c r="BH81" s="1242"/>
      <c r="BI81" s="109"/>
      <c r="BJ81" s="109"/>
      <c r="BK81" s="109"/>
      <c r="BL81" s="109"/>
      <c r="BR81" s="1242"/>
      <c r="BS81" s="1242"/>
      <c r="BT81" s="1242"/>
      <c r="BU81" s="1242"/>
      <c r="BV81" s="1242"/>
      <c r="BW81" s="1242"/>
      <c r="BX81" s="1242"/>
      <c r="BY81" s="1242"/>
      <c r="BZ81" s="1242"/>
      <c r="CA81" s="1242"/>
      <c r="CB81" s="1242"/>
      <c r="CC81" s="1242"/>
      <c r="CD81" s="1242"/>
      <c r="CE81" s="1242"/>
      <c r="CF81" s="1242"/>
      <c r="CG81" s="1242"/>
      <c r="CH81" s="1242"/>
      <c r="CI81" s="1242"/>
      <c r="CJ81" s="1242"/>
      <c r="CK81" s="1242"/>
      <c r="CL81" s="1242"/>
      <c r="CM81" s="1242"/>
      <c r="CN81" s="1242"/>
      <c r="CO81" s="1242"/>
      <c r="CP81" s="1242"/>
      <c r="CQ81" s="1242"/>
      <c r="CR81" s="1242"/>
      <c r="CS81" s="1242"/>
      <c r="CT81" s="1242"/>
      <c r="CU81" s="1242"/>
      <c r="CV81" s="1242"/>
      <c r="CW81" s="1242"/>
      <c r="CX81" s="1242"/>
      <c r="CY81" s="1242"/>
      <c r="CZ81" s="1242"/>
      <c r="DA81" s="1242"/>
      <c r="DB81" s="1242"/>
    </row>
    <row r="82" spans="26:106" s="1310" customFormat="1">
      <c r="Z82" s="1242"/>
      <c r="AA82" s="1242"/>
      <c r="AB82" s="1242"/>
      <c r="AC82" s="1242"/>
      <c r="AD82" s="1242"/>
      <c r="AE82" s="1242"/>
      <c r="AF82" s="1242"/>
      <c r="AG82" s="1242"/>
      <c r="AH82" s="1242"/>
      <c r="AI82" s="1242"/>
      <c r="AX82" s="1242"/>
      <c r="BC82" s="1242"/>
      <c r="BD82" s="1330"/>
      <c r="BE82" s="1330"/>
      <c r="BF82" s="1330"/>
      <c r="BG82" s="1330"/>
      <c r="BH82" s="1242"/>
      <c r="BI82" s="109"/>
      <c r="BJ82" s="109"/>
      <c r="BK82" s="109"/>
      <c r="BL82" s="109"/>
      <c r="BR82" s="1242"/>
      <c r="BS82" s="1242"/>
      <c r="BT82" s="1242"/>
      <c r="BU82" s="1242"/>
      <c r="BV82" s="1242"/>
      <c r="BW82" s="1242"/>
      <c r="BX82" s="1242"/>
      <c r="BY82" s="1242"/>
      <c r="BZ82" s="1242"/>
      <c r="CA82" s="1242"/>
      <c r="CB82" s="1242"/>
      <c r="CC82" s="1242"/>
      <c r="CD82" s="1242"/>
      <c r="CE82" s="1242"/>
      <c r="CF82" s="1242"/>
      <c r="CG82" s="1242"/>
      <c r="CH82" s="1242"/>
      <c r="CI82" s="1242"/>
      <c r="CJ82" s="1242"/>
      <c r="CK82" s="1242"/>
      <c r="CL82" s="1242"/>
      <c r="CM82" s="1242"/>
      <c r="CN82" s="1242"/>
      <c r="CO82" s="1242"/>
      <c r="CP82" s="1242"/>
      <c r="CQ82" s="1242"/>
      <c r="CR82" s="1242"/>
      <c r="CS82" s="1242"/>
      <c r="CT82" s="1242"/>
      <c r="CU82" s="1242"/>
      <c r="CV82" s="1242"/>
      <c r="CW82" s="1242"/>
      <c r="CX82" s="1242"/>
      <c r="CY82" s="1242"/>
      <c r="CZ82" s="1242"/>
      <c r="DA82" s="1242"/>
      <c r="DB82" s="1242"/>
    </row>
    <row r="83" spans="26:106" s="1310" customFormat="1">
      <c r="Z83" s="1242"/>
      <c r="AA83" s="1242"/>
      <c r="AB83" s="1242"/>
      <c r="AC83" s="1242"/>
      <c r="AD83" s="1242"/>
      <c r="AE83" s="1242"/>
      <c r="AF83" s="1242"/>
      <c r="AG83" s="1242"/>
      <c r="AH83" s="1242"/>
      <c r="AI83" s="1242"/>
      <c r="AX83" s="1242"/>
      <c r="BC83" s="1242"/>
      <c r="BD83" s="171"/>
      <c r="BE83" s="172"/>
      <c r="BF83" s="1242"/>
      <c r="BG83" s="172"/>
      <c r="BH83" s="1242"/>
      <c r="BI83" s="109"/>
      <c r="BJ83" s="109"/>
      <c r="BK83" s="109"/>
      <c r="BL83" s="109"/>
      <c r="BR83" s="1242"/>
      <c r="BS83" s="1242"/>
      <c r="BT83" s="1242"/>
      <c r="BU83" s="1242"/>
      <c r="BV83" s="1242"/>
      <c r="BW83" s="1242"/>
      <c r="BX83" s="1242"/>
      <c r="BY83" s="1242"/>
      <c r="BZ83" s="1242"/>
      <c r="CA83" s="1242"/>
      <c r="CB83" s="1242"/>
      <c r="CC83" s="1242"/>
      <c r="CD83" s="1242"/>
      <c r="CE83" s="1242"/>
      <c r="CF83" s="1242"/>
      <c r="CG83" s="1242"/>
      <c r="CH83" s="1242"/>
      <c r="CI83" s="1242"/>
      <c r="CJ83" s="1242"/>
      <c r="CK83" s="1242"/>
      <c r="CL83" s="1242"/>
      <c r="CM83" s="1242"/>
      <c r="CN83" s="1242"/>
      <c r="CO83" s="1242"/>
      <c r="CP83" s="1242"/>
      <c r="CQ83" s="1242"/>
      <c r="CR83" s="1242"/>
      <c r="CS83" s="1242"/>
      <c r="CT83" s="1242"/>
      <c r="CU83" s="1242"/>
      <c r="CV83" s="1242"/>
      <c r="CW83" s="1242"/>
      <c r="CX83" s="1242"/>
      <c r="CY83" s="1242"/>
      <c r="CZ83" s="1242"/>
      <c r="DA83" s="1242"/>
      <c r="DB83" s="1242"/>
    </row>
    <row r="84" spans="26:106" s="1310" customFormat="1">
      <c r="Z84" s="1242"/>
      <c r="AA84" s="1242"/>
      <c r="AB84" s="1242"/>
      <c r="AC84" s="1242"/>
      <c r="AD84" s="1242"/>
      <c r="AE84" s="1242"/>
      <c r="AF84" s="1242"/>
      <c r="AG84" s="1242"/>
      <c r="AH84" s="1242"/>
      <c r="AI84" s="1242"/>
      <c r="AX84" s="1242"/>
      <c r="BC84" s="1242"/>
      <c r="BD84" s="1242"/>
      <c r="BE84" s="1242"/>
      <c r="BF84" s="1242"/>
      <c r="BG84" s="1242"/>
      <c r="BH84" s="1242"/>
      <c r="BI84" s="109"/>
      <c r="BJ84" s="109"/>
      <c r="BK84" s="109"/>
      <c r="BL84" s="109"/>
      <c r="BR84" s="1242"/>
      <c r="BS84" s="1242"/>
      <c r="BT84" s="1242"/>
      <c r="BU84" s="1242"/>
      <c r="BV84" s="1242"/>
      <c r="BW84" s="1242"/>
      <c r="BX84" s="1242"/>
      <c r="BY84" s="1242"/>
      <c r="BZ84" s="1242"/>
      <c r="CA84" s="1242"/>
      <c r="CB84" s="1242"/>
      <c r="CC84" s="1242"/>
      <c r="CD84" s="1242"/>
      <c r="CE84" s="1242"/>
      <c r="CF84" s="1242"/>
      <c r="CG84" s="1242"/>
      <c r="CH84" s="1242"/>
      <c r="CI84" s="1242"/>
      <c r="CJ84" s="1242"/>
      <c r="CK84" s="1242"/>
      <c r="CL84" s="1242"/>
      <c r="CM84" s="1242"/>
      <c r="CN84" s="1242"/>
      <c r="CO84" s="1242"/>
      <c r="CP84" s="1242"/>
      <c r="CQ84" s="1242"/>
      <c r="CR84" s="1242"/>
      <c r="CS84" s="1242"/>
      <c r="CT84" s="1242"/>
      <c r="CU84" s="1242"/>
      <c r="CV84" s="1242"/>
      <c r="CW84" s="1242"/>
      <c r="CX84" s="1242"/>
      <c r="CY84" s="1242"/>
      <c r="CZ84" s="1242"/>
      <c r="DA84" s="1242"/>
      <c r="DB84" s="1242"/>
    </row>
    <row r="85" spans="26:106" s="1310" customFormat="1">
      <c r="Z85" s="1242"/>
      <c r="AA85" s="1242"/>
      <c r="AB85" s="1242"/>
      <c r="AC85" s="1242"/>
      <c r="AD85" s="1242"/>
      <c r="AE85" s="1242"/>
      <c r="AF85" s="1242"/>
      <c r="AG85" s="1242"/>
      <c r="AH85" s="1242"/>
      <c r="AI85" s="1242"/>
      <c r="AX85" s="1242"/>
      <c r="BC85" s="1242"/>
      <c r="BD85" s="1242"/>
      <c r="BE85" s="1242"/>
      <c r="BF85" s="1242"/>
      <c r="BG85" s="1242"/>
      <c r="BH85" s="1242"/>
      <c r="BI85" s="109"/>
      <c r="BJ85" s="109"/>
      <c r="BK85" s="109"/>
      <c r="BL85" s="109"/>
      <c r="BR85" s="1242"/>
      <c r="BS85" s="1242"/>
      <c r="BT85" s="1242"/>
      <c r="BU85" s="1242"/>
      <c r="BV85" s="1242"/>
      <c r="BW85" s="1242"/>
      <c r="BX85" s="1242"/>
      <c r="BY85" s="1242"/>
      <c r="BZ85" s="1242"/>
      <c r="CA85" s="1242"/>
      <c r="CB85" s="1242"/>
      <c r="CC85" s="1242"/>
      <c r="CD85" s="1242"/>
      <c r="CE85" s="1242"/>
      <c r="CF85" s="1242"/>
      <c r="CG85" s="1242"/>
      <c r="CH85" s="1242"/>
      <c r="CI85" s="1242"/>
      <c r="CJ85" s="1242"/>
      <c r="CK85" s="1242"/>
      <c r="CL85" s="1242"/>
      <c r="CM85" s="1242"/>
      <c r="CN85" s="1242"/>
      <c r="CO85" s="1242"/>
      <c r="CP85" s="1242"/>
      <c r="CQ85" s="1242"/>
      <c r="CR85" s="1242"/>
      <c r="CS85" s="1242"/>
      <c r="CT85" s="1242"/>
      <c r="CU85" s="1242"/>
      <c r="CV85" s="1242"/>
      <c r="CW85" s="1242"/>
      <c r="CX85" s="1242"/>
      <c r="CY85" s="1242"/>
      <c r="CZ85" s="1242"/>
      <c r="DA85" s="1242"/>
      <c r="DB85" s="1242"/>
    </row>
    <row r="86" spans="26:106" s="1310" customFormat="1">
      <c r="Z86" s="1242"/>
      <c r="AA86" s="1242"/>
      <c r="AB86" s="1242"/>
      <c r="AC86" s="1242"/>
      <c r="AD86" s="1242"/>
      <c r="AE86" s="1242"/>
      <c r="AF86" s="1242"/>
      <c r="AG86" s="1242"/>
      <c r="AH86" s="1242"/>
      <c r="AI86" s="1242"/>
      <c r="AX86" s="1242"/>
      <c r="BC86" s="1242"/>
      <c r="BD86" s="1242"/>
      <c r="BE86" s="1242"/>
      <c r="BF86" s="1242"/>
      <c r="BG86" s="1242"/>
      <c r="BH86" s="1242"/>
      <c r="BI86" s="109"/>
      <c r="BJ86" s="109"/>
      <c r="BK86" s="109"/>
      <c r="BL86" s="109"/>
      <c r="BR86" s="1242"/>
      <c r="BS86" s="1242"/>
      <c r="BT86" s="1242"/>
      <c r="BU86" s="1242"/>
      <c r="BV86" s="1242"/>
      <c r="BW86" s="1242"/>
      <c r="BX86" s="1242"/>
      <c r="BY86" s="1242"/>
      <c r="BZ86" s="1242"/>
      <c r="CA86" s="1242"/>
      <c r="CB86" s="1242"/>
      <c r="CC86" s="1242"/>
      <c r="CD86" s="1242"/>
      <c r="CE86" s="1242"/>
      <c r="CF86" s="1242"/>
      <c r="CG86" s="1242"/>
      <c r="CH86" s="1242"/>
      <c r="CI86" s="1242"/>
      <c r="CJ86" s="1242"/>
      <c r="CK86" s="1242"/>
      <c r="CL86" s="1242"/>
      <c r="CM86" s="1242"/>
      <c r="CN86" s="1242"/>
      <c r="CO86" s="1242"/>
      <c r="CP86" s="1242"/>
      <c r="CQ86" s="1242"/>
      <c r="CR86" s="1242"/>
      <c r="CS86" s="1242"/>
      <c r="CT86" s="1242"/>
      <c r="CU86" s="1242"/>
      <c r="CV86" s="1242"/>
      <c r="CW86" s="1242"/>
      <c r="CX86" s="1242"/>
      <c r="CY86" s="1242"/>
      <c r="CZ86" s="1242"/>
      <c r="DA86" s="1242"/>
      <c r="DB86" s="1242"/>
    </row>
    <row r="87" spans="26:106" s="1310" customFormat="1">
      <c r="Z87" s="1242"/>
      <c r="AA87" s="1242"/>
      <c r="AB87" s="1242"/>
      <c r="AC87" s="1242"/>
      <c r="AD87" s="1242"/>
      <c r="AE87" s="1242"/>
      <c r="AF87" s="1242"/>
      <c r="AG87" s="1242"/>
      <c r="AH87" s="1242"/>
      <c r="AI87" s="1242"/>
      <c r="AX87" s="1242"/>
      <c r="BC87" s="1242"/>
      <c r="BD87" s="1242"/>
      <c r="BE87" s="1242"/>
      <c r="BF87" s="1242"/>
      <c r="BG87" s="1242"/>
      <c r="BH87" s="1242"/>
      <c r="BI87" s="109"/>
      <c r="BJ87" s="109"/>
      <c r="BK87" s="109"/>
      <c r="BL87" s="109"/>
      <c r="BR87" s="1242"/>
      <c r="BS87" s="1242"/>
      <c r="BT87" s="1242"/>
      <c r="BU87" s="1242"/>
      <c r="BV87" s="1242"/>
      <c r="BW87" s="1242"/>
      <c r="BX87" s="1242"/>
      <c r="BY87" s="1242"/>
      <c r="BZ87" s="1242"/>
      <c r="CA87" s="1242"/>
      <c r="CB87" s="1242"/>
      <c r="CC87" s="1242"/>
      <c r="CD87" s="1242"/>
      <c r="CE87" s="1242"/>
      <c r="CF87" s="1242"/>
      <c r="CG87" s="1242"/>
      <c r="CH87" s="1242"/>
      <c r="CI87" s="1242"/>
      <c r="CJ87" s="1242"/>
      <c r="CK87" s="1242"/>
      <c r="CL87" s="1242"/>
      <c r="CM87" s="1242"/>
      <c r="CN87" s="1242"/>
      <c r="CO87" s="1242"/>
      <c r="CP87" s="1242"/>
      <c r="CQ87" s="1242"/>
      <c r="CR87" s="1242"/>
      <c r="CS87" s="1242"/>
      <c r="CT87" s="1242"/>
      <c r="CU87" s="1242"/>
      <c r="CV87" s="1242"/>
      <c r="CW87" s="1242"/>
      <c r="CX87" s="1242"/>
      <c r="CY87" s="1242"/>
      <c r="CZ87" s="1242"/>
      <c r="DA87" s="1242"/>
      <c r="DB87" s="1242"/>
    </row>
    <row r="88" spans="26:106" s="1310" customFormat="1">
      <c r="Z88" s="1242"/>
      <c r="AA88" s="1242"/>
      <c r="AB88" s="1242"/>
      <c r="AC88" s="1242"/>
      <c r="AD88" s="1242"/>
      <c r="AE88" s="1242"/>
      <c r="AF88" s="1242"/>
      <c r="AG88" s="1242"/>
      <c r="AH88" s="1242"/>
      <c r="AI88" s="1242"/>
      <c r="AX88" s="1242"/>
      <c r="BC88" s="1242"/>
      <c r="BD88" s="1242"/>
      <c r="BE88" s="1242"/>
      <c r="BF88" s="1242"/>
      <c r="BG88" s="1242"/>
      <c r="BH88" s="1242"/>
      <c r="BI88" s="109"/>
      <c r="BJ88" s="109"/>
      <c r="BK88" s="109"/>
      <c r="BL88" s="109"/>
      <c r="BR88" s="1242"/>
      <c r="BS88" s="1242"/>
      <c r="BT88" s="1242"/>
      <c r="BU88" s="1242"/>
      <c r="BV88" s="1242"/>
      <c r="BW88" s="1242"/>
      <c r="BX88" s="1242"/>
      <c r="BY88" s="1242"/>
      <c r="BZ88" s="1242"/>
      <c r="CA88" s="1242"/>
      <c r="CB88" s="1242"/>
      <c r="CC88" s="1242"/>
      <c r="CD88" s="1242"/>
      <c r="CE88" s="1242"/>
      <c r="CF88" s="1242"/>
      <c r="CG88" s="1242"/>
      <c r="CH88" s="1242"/>
      <c r="CI88" s="1242"/>
      <c r="CJ88" s="1242"/>
      <c r="CK88" s="1242"/>
      <c r="CL88" s="1242"/>
      <c r="CM88" s="1242"/>
      <c r="CN88" s="1242"/>
      <c r="CO88" s="1242"/>
      <c r="CP88" s="1242"/>
      <c r="CQ88" s="1242"/>
      <c r="CR88" s="1242"/>
      <c r="CS88" s="1242"/>
      <c r="CT88" s="1242"/>
      <c r="CU88" s="1242"/>
      <c r="CV88" s="1242"/>
      <c r="CW88" s="1242"/>
      <c r="CX88" s="1242"/>
      <c r="CY88" s="1242"/>
      <c r="CZ88" s="1242"/>
      <c r="DA88" s="1242"/>
      <c r="DB88" s="1242"/>
    </row>
    <row r="89" spans="26:106" s="1310" customFormat="1">
      <c r="Z89" s="1242"/>
      <c r="AA89" s="1242"/>
      <c r="AB89" s="1242"/>
      <c r="AC89" s="1242"/>
      <c r="AD89" s="1242"/>
      <c r="AE89" s="1242"/>
      <c r="AF89" s="1242"/>
      <c r="AG89" s="1242"/>
      <c r="AH89" s="1242"/>
      <c r="AI89" s="1242"/>
      <c r="AX89" s="1242"/>
      <c r="BC89" s="1242"/>
      <c r="BD89" s="1242"/>
      <c r="BE89" s="1242"/>
      <c r="BF89" s="1242"/>
      <c r="BG89" s="1242"/>
      <c r="BH89" s="1242"/>
      <c r="BI89" s="109"/>
      <c r="BJ89" s="109"/>
      <c r="BK89" s="109"/>
      <c r="BL89" s="109"/>
      <c r="BR89" s="1242"/>
      <c r="BS89" s="1242"/>
      <c r="BT89" s="1242"/>
      <c r="BU89" s="1242"/>
      <c r="BV89" s="1242"/>
      <c r="BW89" s="1242"/>
      <c r="BX89" s="1242"/>
      <c r="BY89" s="1242"/>
      <c r="BZ89" s="1242"/>
      <c r="CA89" s="1242"/>
      <c r="CB89" s="1242"/>
      <c r="CC89" s="1242"/>
      <c r="CD89" s="1242"/>
      <c r="CE89" s="1242"/>
      <c r="CF89" s="1242"/>
      <c r="CG89" s="1242"/>
      <c r="CH89" s="1242"/>
      <c r="CI89" s="1242"/>
      <c r="CJ89" s="1242"/>
      <c r="CK89" s="1242"/>
      <c r="CL89" s="1242"/>
      <c r="CM89" s="1242"/>
      <c r="CN89" s="1242"/>
      <c r="CO89" s="1242"/>
      <c r="CP89" s="1242"/>
      <c r="CQ89" s="1242"/>
      <c r="CR89" s="1242"/>
      <c r="CS89" s="1242"/>
      <c r="CT89" s="1242"/>
      <c r="CU89" s="1242"/>
      <c r="CV89" s="1242"/>
      <c r="CW89" s="1242"/>
      <c r="CX89" s="1242"/>
      <c r="CY89" s="1242"/>
      <c r="CZ89" s="1242"/>
      <c r="DA89" s="1242"/>
      <c r="DB89" s="1242"/>
    </row>
    <row r="90" spans="26:106" s="1310" customFormat="1">
      <c r="Z90" s="1242"/>
      <c r="AA90" s="1242"/>
      <c r="AB90" s="1242"/>
      <c r="AC90" s="1242"/>
      <c r="AD90" s="1242"/>
      <c r="AE90" s="1242"/>
      <c r="AF90" s="1242"/>
      <c r="AG90" s="1242"/>
      <c r="AH90" s="1242"/>
      <c r="AI90" s="1242"/>
      <c r="AX90" s="1242"/>
      <c r="BC90" s="1242"/>
      <c r="BD90" s="1242"/>
      <c r="BE90" s="1242"/>
      <c r="BF90" s="1242"/>
      <c r="BG90" s="1242"/>
      <c r="BH90" s="1242"/>
      <c r="BI90" s="109"/>
      <c r="BJ90" s="109"/>
      <c r="BK90" s="109"/>
      <c r="BL90" s="109"/>
      <c r="BR90" s="1242"/>
      <c r="BS90" s="1242"/>
      <c r="BT90" s="1242"/>
      <c r="BU90" s="1242"/>
      <c r="BV90" s="1242"/>
      <c r="BW90" s="1242"/>
      <c r="BX90" s="1242"/>
      <c r="BY90" s="1242"/>
      <c r="BZ90" s="1242"/>
      <c r="CA90" s="1242"/>
      <c r="CB90" s="1242"/>
      <c r="CC90" s="1242"/>
      <c r="CD90" s="1242"/>
      <c r="CE90" s="1242"/>
      <c r="CF90" s="1242"/>
      <c r="CG90" s="1242"/>
      <c r="CH90" s="1242"/>
      <c r="CI90" s="1242"/>
      <c r="CJ90" s="1242"/>
      <c r="CK90" s="1242"/>
      <c r="CL90" s="1242"/>
      <c r="CM90" s="1242"/>
      <c r="CN90" s="1242"/>
      <c r="CO90" s="1242"/>
      <c r="CP90" s="1242"/>
      <c r="CQ90" s="1242"/>
      <c r="CR90" s="1242"/>
      <c r="CS90" s="1242"/>
      <c r="CT90" s="1242"/>
      <c r="CU90" s="1242"/>
      <c r="CV90" s="1242"/>
      <c r="CW90" s="1242"/>
      <c r="CX90" s="1242"/>
      <c r="CY90" s="1242"/>
      <c r="CZ90" s="1242"/>
      <c r="DA90" s="1242"/>
      <c r="DB90" s="1242"/>
    </row>
    <row r="91" spans="26:106" s="1310" customFormat="1">
      <c r="Z91" s="1242"/>
      <c r="AA91" s="1242"/>
      <c r="AB91" s="1242"/>
      <c r="AC91" s="1242"/>
      <c r="AD91" s="1242"/>
      <c r="AE91" s="1242"/>
      <c r="AF91" s="1242"/>
      <c r="AG91" s="1242"/>
      <c r="AH91" s="1242"/>
      <c r="AI91" s="1242"/>
      <c r="AX91" s="1242"/>
      <c r="BC91" s="1242"/>
      <c r="BD91" s="1242"/>
      <c r="BE91" s="1242"/>
      <c r="BF91" s="1242"/>
      <c r="BG91" s="1242"/>
      <c r="BH91" s="1242"/>
      <c r="BI91" s="109"/>
      <c r="BJ91" s="109"/>
      <c r="BK91" s="109"/>
      <c r="BL91" s="109"/>
      <c r="BR91" s="1242"/>
      <c r="BS91" s="1242"/>
      <c r="BT91" s="1242"/>
      <c r="BU91" s="1242"/>
      <c r="BV91" s="1242"/>
      <c r="BW91" s="1242"/>
      <c r="BX91" s="1242"/>
      <c r="BY91" s="1242"/>
      <c r="BZ91" s="1242"/>
      <c r="CA91" s="1242"/>
      <c r="CB91" s="1242"/>
      <c r="CC91" s="1242"/>
      <c r="CD91" s="1242"/>
      <c r="CE91" s="1242"/>
      <c r="CF91" s="1242"/>
      <c r="CG91" s="1242"/>
      <c r="CH91" s="1242"/>
      <c r="CI91" s="1242"/>
      <c r="CJ91" s="1242"/>
      <c r="CK91" s="1242"/>
      <c r="CL91" s="1242"/>
      <c r="CM91" s="1242"/>
      <c r="CN91" s="1242"/>
      <c r="CO91" s="1242"/>
      <c r="CP91" s="1242"/>
      <c r="CQ91" s="1242"/>
      <c r="CR91" s="1242"/>
      <c r="CS91" s="1242"/>
      <c r="CT91" s="1242"/>
      <c r="CU91" s="1242"/>
      <c r="CV91" s="1242"/>
      <c r="CW91" s="1242"/>
      <c r="CX91" s="1242"/>
      <c r="CY91" s="1242"/>
      <c r="CZ91" s="1242"/>
      <c r="DA91" s="1242"/>
      <c r="DB91" s="1242"/>
    </row>
    <row r="92" spans="26:106" s="1310" customFormat="1">
      <c r="Z92" s="1242"/>
      <c r="AA92" s="1242"/>
      <c r="AB92" s="1242"/>
      <c r="AC92" s="1242"/>
      <c r="AD92" s="1242"/>
      <c r="AE92" s="1242"/>
      <c r="AF92" s="1242"/>
      <c r="AG92" s="1242"/>
      <c r="AH92" s="1242"/>
      <c r="AI92" s="1242"/>
      <c r="AX92" s="1242"/>
      <c r="BC92" s="1242"/>
      <c r="BD92" s="1242"/>
      <c r="BE92" s="1242"/>
      <c r="BF92" s="1242"/>
      <c r="BG92" s="1242"/>
      <c r="BH92" s="1242"/>
      <c r="BI92" s="109"/>
      <c r="BJ92" s="109"/>
      <c r="BK92" s="109"/>
      <c r="BL92" s="109"/>
      <c r="BR92" s="1242"/>
      <c r="BS92" s="1242"/>
      <c r="BT92" s="1242"/>
      <c r="BU92" s="1242"/>
      <c r="BV92" s="1242"/>
      <c r="BW92" s="1242"/>
      <c r="BX92" s="1242"/>
      <c r="BY92" s="1242"/>
      <c r="BZ92" s="1242"/>
      <c r="CA92" s="1242"/>
      <c r="CB92" s="1242"/>
      <c r="CC92" s="1242"/>
      <c r="CD92" s="1242"/>
      <c r="CE92" s="1242"/>
      <c r="CF92" s="1242"/>
      <c r="CG92" s="1242"/>
      <c r="CH92" s="1242"/>
      <c r="CI92" s="1242"/>
      <c r="CJ92" s="1242"/>
      <c r="CK92" s="1242"/>
      <c r="CL92" s="1242"/>
      <c r="CM92" s="1242"/>
      <c r="CN92" s="1242"/>
      <c r="CO92" s="1242"/>
      <c r="CP92" s="1242"/>
      <c r="CQ92" s="1242"/>
      <c r="CR92" s="1242"/>
      <c r="CS92" s="1242"/>
      <c r="CT92" s="1242"/>
      <c r="CU92" s="1242"/>
      <c r="CV92" s="1242"/>
      <c r="CW92" s="1242"/>
      <c r="CX92" s="1242"/>
      <c r="CY92" s="1242"/>
      <c r="CZ92" s="1242"/>
      <c r="DA92" s="1242"/>
      <c r="DB92" s="1242"/>
    </row>
    <row r="93" spans="26:106" s="1310" customFormat="1">
      <c r="Z93" s="1242"/>
      <c r="AA93" s="1242"/>
      <c r="AB93" s="1242"/>
      <c r="AC93" s="1242"/>
      <c r="AD93" s="1242"/>
      <c r="AE93" s="1242"/>
      <c r="AF93" s="1242"/>
      <c r="AG93" s="1242"/>
      <c r="AH93" s="1242"/>
      <c r="AI93" s="1242"/>
      <c r="AX93" s="1242"/>
      <c r="BC93" s="1242"/>
      <c r="BD93" s="1242"/>
      <c r="BE93" s="1242"/>
      <c r="BF93" s="1242"/>
      <c r="BG93" s="1242"/>
      <c r="BH93" s="1242"/>
      <c r="BI93" s="109"/>
      <c r="BJ93" s="109"/>
      <c r="BK93" s="109"/>
      <c r="BL93" s="109"/>
      <c r="BR93" s="1242"/>
      <c r="BS93" s="1242"/>
      <c r="BT93" s="1242"/>
      <c r="BU93" s="1242"/>
      <c r="BV93" s="1242"/>
      <c r="BW93" s="1242"/>
      <c r="BX93" s="1242"/>
      <c r="BY93" s="1242"/>
      <c r="BZ93" s="1242"/>
      <c r="CA93" s="1242"/>
      <c r="CB93" s="1242"/>
      <c r="CC93" s="1242"/>
      <c r="CD93" s="1242"/>
      <c r="CE93" s="1242"/>
      <c r="CF93" s="1242"/>
      <c r="CG93" s="1242"/>
      <c r="CH93" s="1242"/>
      <c r="CI93" s="1242"/>
      <c r="CJ93" s="1242"/>
      <c r="CK93" s="1242"/>
      <c r="CL93" s="1242"/>
      <c r="CM93" s="1242"/>
      <c r="CN93" s="1242"/>
      <c r="CO93" s="1242"/>
      <c r="CP93" s="1242"/>
      <c r="CQ93" s="1242"/>
      <c r="CR93" s="1242"/>
      <c r="CS93" s="1242"/>
      <c r="CT93" s="1242"/>
      <c r="CU93" s="1242"/>
      <c r="CV93" s="1242"/>
      <c r="CW93" s="1242"/>
      <c r="CX93" s="1242"/>
      <c r="CY93" s="1242"/>
      <c r="CZ93" s="1242"/>
      <c r="DA93" s="1242"/>
      <c r="DB93" s="1242"/>
    </row>
    <row r="94" spans="26:106" s="1310" customFormat="1">
      <c r="Z94" s="1242"/>
      <c r="AA94" s="1242"/>
      <c r="AB94" s="1242"/>
      <c r="AC94" s="1242"/>
      <c r="AD94" s="1242"/>
      <c r="AE94" s="1242"/>
      <c r="AF94" s="1242"/>
      <c r="AG94" s="1242"/>
      <c r="AH94" s="1242"/>
      <c r="AI94" s="1242"/>
      <c r="AX94" s="1242"/>
      <c r="BC94" s="1242"/>
      <c r="BD94" s="1242"/>
      <c r="BE94" s="1242"/>
      <c r="BF94" s="1242"/>
      <c r="BG94" s="1242"/>
      <c r="BH94" s="1242"/>
      <c r="BI94" s="109"/>
      <c r="BJ94" s="109"/>
      <c r="BK94" s="109"/>
      <c r="BL94" s="109"/>
      <c r="BR94" s="1242"/>
      <c r="BS94" s="1242"/>
      <c r="BT94" s="1242"/>
      <c r="BU94" s="1242"/>
      <c r="BV94" s="1242"/>
      <c r="BW94" s="1242"/>
      <c r="BX94" s="1242"/>
      <c r="BY94" s="1242"/>
      <c r="BZ94" s="1242"/>
      <c r="CA94" s="1242"/>
      <c r="CB94" s="1242"/>
      <c r="CC94" s="1242"/>
      <c r="CD94" s="1242"/>
      <c r="CE94" s="1242"/>
      <c r="CF94" s="1242"/>
      <c r="CG94" s="1242"/>
      <c r="CH94" s="1242"/>
      <c r="CI94" s="1242"/>
      <c r="CJ94" s="1242"/>
      <c r="CK94" s="1242"/>
      <c r="CL94" s="1242"/>
      <c r="CM94" s="1242"/>
      <c r="CN94" s="1242"/>
      <c r="CO94" s="1242"/>
      <c r="CP94" s="1242"/>
      <c r="CQ94" s="1242"/>
      <c r="CR94" s="1242"/>
      <c r="CS94" s="1242"/>
      <c r="CT94" s="1242"/>
      <c r="CU94" s="1242"/>
      <c r="CV94" s="1242"/>
      <c r="CW94" s="1242"/>
      <c r="CX94" s="1242"/>
      <c r="CY94" s="1242"/>
      <c r="CZ94" s="1242"/>
      <c r="DA94" s="1242"/>
      <c r="DB94" s="1242"/>
    </row>
    <row r="95" spans="26:106" s="1310" customFormat="1">
      <c r="Z95" s="1242"/>
      <c r="AA95" s="1242"/>
      <c r="AB95" s="1242"/>
      <c r="AC95" s="1242"/>
      <c r="AD95" s="1242"/>
      <c r="AE95" s="1242"/>
      <c r="AF95" s="1242"/>
      <c r="AG95" s="1242"/>
      <c r="AH95" s="1242"/>
      <c r="AI95" s="1242"/>
      <c r="AX95" s="1242"/>
      <c r="BC95" s="1242"/>
      <c r="BD95" s="1242"/>
      <c r="BE95" s="1242"/>
      <c r="BF95" s="1242"/>
      <c r="BG95" s="1242"/>
      <c r="BH95" s="1242"/>
      <c r="BI95" s="109"/>
      <c r="BJ95" s="109"/>
      <c r="BK95" s="109"/>
      <c r="BL95" s="109"/>
      <c r="BR95" s="1242"/>
      <c r="BS95" s="1242"/>
      <c r="BT95" s="1242"/>
      <c r="BU95" s="1242"/>
      <c r="BV95" s="1242"/>
      <c r="BW95" s="1242"/>
      <c r="BX95" s="1242"/>
      <c r="BY95" s="1242"/>
      <c r="BZ95" s="1242"/>
      <c r="CA95" s="1242"/>
      <c r="CB95" s="1242"/>
      <c r="CC95" s="1242"/>
      <c r="CD95" s="1242"/>
      <c r="CE95" s="1242"/>
      <c r="CF95" s="1242"/>
      <c r="CG95" s="1242"/>
      <c r="CH95" s="1242"/>
      <c r="CI95" s="1242"/>
      <c r="CJ95" s="1242"/>
      <c r="CK95" s="1242"/>
      <c r="CL95" s="1242"/>
      <c r="CM95" s="1242"/>
      <c r="CN95" s="1242"/>
      <c r="CO95" s="1242"/>
      <c r="CP95" s="1242"/>
      <c r="CQ95" s="1242"/>
      <c r="CR95" s="1242"/>
      <c r="CS95" s="1242"/>
      <c r="CT95" s="1242"/>
      <c r="CU95" s="1242"/>
      <c r="CV95" s="1242"/>
      <c r="CW95" s="1242"/>
      <c r="CX95" s="1242"/>
      <c r="CY95" s="1242"/>
      <c r="CZ95" s="1242"/>
      <c r="DA95" s="1242"/>
      <c r="DB95" s="1242"/>
    </row>
    <row r="96" spans="26:106" s="1310" customFormat="1">
      <c r="Z96" s="1242"/>
      <c r="AA96" s="1242"/>
      <c r="AB96" s="1242"/>
      <c r="AC96" s="1242"/>
      <c r="AD96" s="1242"/>
      <c r="AE96" s="1242"/>
      <c r="AF96" s="1242"/>
      <c r="AG96" s="1242"/>
      <c r="AH96" s="1242"/>
      <c r="AI96" s="1242"/>
      <c r="AX96" s="1242"/>
      <c r="BC96" s="1242"/>
      <c r="BD96" s="1242"/>
      <c r="BE96" s="1242"/>
      <c r="BF96" s="1242"/>
      <c r="BG96" s="1242"/>
      <c r="BH96" s="1242"/>
      <c r="BI96" s="109"/>
      <c r="BJ96" s="109"/>
      <c r="BK96" s="109"/>
      <c r="BL96" s="109"/>
      <c r="BR96" s="1242"/>
      <c r="BS96" s="1242"/>
      <c r="BT96" s="1242"/>
      <c r="BU96" s="1242"/>
      <c r="BV96" s="1242"/>
      <c r="BW96" s="1242"/>
      <c r="BX96" s="1242"/>
      <c r="BY96" s="1242"/>
      <c r="BZ96" s="1242"/>
      <c r="CA96" s="1242"/>
      <c r="CB96" s="1242"/>
      <c r="CC96" s="1242"/>
      <c r="CD96" s="1242"/>
      <c r="CE96" s="1242"/>
      <c r="CF96" s="1242"/>
      <c r="CG96" s="1242"/>
      <c r="CH96" s="1242"/>
      <c r="CI96" s="1242"/>
      <c r="CJ96" s="1242"/>
      <c r="CK96" s="1242"/>
      <c r="CL96" s="1242"/>
      <c r="CM96" s="1242"/>
      <c r="CN96" s="1242"/>
      <c r="CO96" s="1242"/>
      <c r="CP96" s="1242"/>
      <c r="CQ96" s="1242"/>
      <c r="CR96" s="1242"/>
      <c r="CS96" s="1242"/>
      <c r="CT96" s="1242"/>
      <c r="CU96" s="1242"/>
      <c r="CV96" s="1242"/>
      <c r="CW96" s="1242"/>
      <c r="CX96" s="1242"/>
      <c r="CY96" s="1242"/>
      <c r="CZ96" s="1242"/>
      <c r="DA96" s="1242"/>
      <c r="DB96" s="1242"/>
    </row>
    <row r="97" spans="19:106" s="1310" customFormat="1">
      <c r="Z97" s="1242"/>
      <c r="AA97" s="1242"/>
      <c r="AB97" s="1242"/>
      <c r="AC97" s="1242"/>
      <c r="AD97" s="1242"/>
      <c r="AE97" s="1242"/>
      <c r="AF97" s="1242"/>
      <c r="AG97" s="1242"/>
      <c r="AH97" s="1242"/>
      <c r="AI97" s="1242"/>
      <c r="AX97" s="1242"/>
      <c r="BC97" s="1242"/>
      <c r="BD97" s="1242"/>
      <c r="BE97" s="1242"/>
      <c r="BF97" s="1242"/>
      <c r="BG97" s="1242"/>
      <c r="BH97" s="1242"/>
      <c r="BI97" s="109"/>
      <c r="BJ97" s="109"/>
      <c r="BK97" s="109"/>
      <c r="BL97" s="109"/>
      <c r="BR97" s="1242"/>
      <c r="BS97" s="1242"/>
      <c r="BT97" s="1242"/>
      <c r="BU97" s="1242"/>
      <c r="BV97" s="1242"/>
      <c r="BW97" s="1242"/>
      <c r="BX97" s="1242"/>
      <c r="BY97" s="1242"/>
      <c r="BZ97" s="1242"/>
      <c r="CA97" s="1242"/>
      <c r="CB97" s="1242"/>
      <c r="CC97" s="1242"/>
      <c r="CD97" s="1242"/>
      <c r="CE97" s="1242"/>
      <c r="CF97" s="1242"/>
      <c r="CG97" s="1242"/>
      <c r="CH97" s="1242"/>
      <c r="CI97" s="1242"/>
      <c r="CJ97" s="1242"/>
      <c r="CK97" s="1242"/>
      <c r="CL97" s="1242"/>
      <c r="CM97" s="1242"/>
      <c r="CN97" s="1242"/>
      <c r="CO97" s="1242"/>
      <c r="CP97" s="1242"/>
      <c r="CQ97" s="1242"/>
      <c r="CR97" s="1242"/>
      <c r="CS97" s="1242"/>
      <c r="CT97" s="1242"/>
      <c r="CU97" s="1242"/>
      <c r="CV97" s="1242"/>
      <c r="CW97" s="1242"/>
      <c r="CX97" s="1242"/>
      <c r="CY97" s="1242"/>
      <c r="CZ97" s="1242"/>
      <c r="DA97" s="1242"/>
      <c r="DB97" s="1242"/>
    </row>
    <row r="98" spans="19:106" s="1310" customFormat="1">
      <c r="Z98" s="1242"/>
      <c r="AA98" s="1242"/>
      <c r="AB98" s="1242"/>
      <c r="AC98" s="1242"/>
      <c r="AD98" s="1242"/>
      <c r="AE98" s="1242"/>
      <c r="AF98" s="1242"/>
      <c r="AG98" s="1242"/>
      <c r="AH98" s="1242"/>
      <c r="AI98" s="1242"/>
      <c r="AX98" s="1242"/>
      <c r="BC98" s="1242"/>
      <c r="BD98" s="1242"/>
      <c r="BE98" s="1242"/>
      <c r="BF98" s="1242"/>
      <c r="BG98" s="1242"/>
      <c r="BH98" s="1242"/>
      <c r="BI98" s="109"/>
      <c r="BJ98" s="109"/>
      <c r="BK98" s="109"/>
      <c r="BL98" s="109"/>
      <c r="BR98" s="1242"/>
      <c r="BS98" s="1242"/>
      <c r="BT98" s="1242"/>
      <c r="BU98" s="1242"/>
      <c r="BV98" s="1242"/>
      <c r="BW98" s="1242"/>
      <c r="BX98" s="1242"/>
      <c r="BY98" s="1242"/>
      <c r="BZ98" s="1242"/>
      <c r="CA98" s="1242"/>
      <c r="CB98" s="1242"/>
      <c r="CC98" s="1242"/>
      <c r="CD98" s="1242"/>
      <c r="CE98" s="1242"/>
      <c r="CF98" s="1242"/>
      <c r="CG98" s="1242"/>
      <c r="CH98" s="1242"/>
      <c r="CI98" s="1242"/>
      <c r="CJ98" s="1242"/>
      <c r="CK98" s="1242"/>
      <c r="CL98" s="1242"/>
      <c r="CM98" s="1242"/>
      <c r="CN98" s="1242"/>
      <c r="CO98" s="1242"/>
      <c r="CP98" s="1242"/>
      <c r="CQ98" s="1242"/>
      <c r="CR98" s="1242"/>
      <c r="CS98" s="1242"/>
      <c r="CT98" s="1242"/>
      <c r="CU98" s="1242"/>
      <c r="CV98" s="1242"/>
      <c r="CW98" s="1242"/>
      <c r="CX98" s="1242"/>
      <c r="CY98" s="1242"/>
      <c r="CZ98" s="1242"/>
      <c r="DA98" s="1242"/>
      <c r="DB98" s="1242"/>
    </row>
    <row r="99" spans="19:106" s="1310" customFormat="1">
      <c r="Z99" s="1242"/>
      <c r="AA99" s="1242"/>
      <c r="AB99" s="1242"/>
      <c r="AC99" s="1242"/>
      <c r="AD99" s="1242"/>
      <c r="AE99" s="1242"/>
      <c r="AF99" s="1242"/>
      <c r="AG99" s="1242"/>
      <c r="AH99" s="1242"/>
      <c r="AI99" s="1242"/>
      <c r="AX99" s="1242"/>
      <c r="BC99" s="1242"/>
      <c r="BD99" s="1242"/>
      <c r="BE99" s="1242"/>
      <c r="BF99" s="1242"/>
      <c r="BG99" s="1242"/>
      <c r="BH99" s="1242"/>
      <c r="BI99" s="109"/>
      <c r="BJ99" s="109"/>
      <c r="BK99" s="109"/>
      <c r="BL99" s="109"/>
      <c r="BR99" s="1242"/>
      <c r="BS99" s="1242"/>
      <c r="BT99" s="1242"/>
      <c r="BU99" s="1242"/>
      <c r="BV99" s="1242"/>
      <c r="BW99" s="1242"/>
      <c r="BX99" s="1242"/>
      <c r="BY99" s="1242"/>
      <c r="BZ99" s="1242"/>
      <c r="CA99" s="1242"/>
      <c r="CB99" s="1242"/>
      <c r="CC99" s="1242"/>
      <c r="CD99" s="1242"/>
      <c r="CE99" s="1242"/>
      <c r="CF99" s="1242"/>
      <c r="CG99" s="1242"/>
      <c r="CH99" s="1242"/>
      <c r="CI99" s="1242"/>
      <c r="CJ99" s="1242"/>
      <c r="CK99" s="1242"/>
      <c r="CL99" s="1242"/>
      <c r="CM99" s="1242"/>
      <c r="CN99" s="1242"/>
      <c r="CO99" s="1242"/>
      <c r="CP99" s="1242"/>
      <c r="CQ99" s="1242"/>
      <c r="CR99" s="1242"/>
      <c r="CS99" s="1242"/>
      <c r="CT99" s="1242"/>
      <c r="CU99" s="1242"/>
      <c r="CV99" s="1242"/>
      <c r="CW99" s="1242"/>
      <c r="CX99" s="1242"/>
      <c r="CY99" s="1242"/>
      <c r="CZ99" s="1242"/>
      <c r="DA99" s="1242"/>
      <c r="DB99" s="1242"/>
    </row>
    <row r="100" spans="19:106" s="1310" customFormat="1">
      <c r="Z100" s="1242"/>
      <c r="AA100" s="1242"/>
      <c r="AB100" s="1242"/>
      <c r="AC100" s="1242"/>
      <c r="AD100" s="1242"/>
      <c r="AE100" s="1242"/>
      <c r="AF100" s="1242"/>
      <c r="AG100" s="1242"/>
      <c r="AH100" s="1242"/>
      <c r="AI100" s="1242"/>
      <c r="AX100" s="1242"/>
      <c r="BC100" s="1242"/>
      <c r="BD100" s="1242"/>
      <c r="BE100" s="1242"/>
      <c r="BF100" s="1242"/>
      <c r="BG100" s="1242"/>
      <c r="BH100" s="1242"/>
      <c r="BI100" s="109"/>
      <c r="BJ100" s="109"/>
      <c r="BK100" s="109"/>
      <c r="BL100" s="109"/>
      <c r="BR100" s="1242"/>
      <c r="BS100" s="1242"/>
      <c r="BT100" s="1242"/>
      <c r="BU100" s="1242"/>
      <c r="BV100" s="1242"/>
      <c r="BW100" s="1242"/>
      <c r="BX100" s="1242"/>
      <c r="BY100" s="1242"/>
      <c r="BZ100" s="1242"/>
      <c r="CA100" s="1242"/>
      <c r="CB100" s="1242"/>
      <c r="CC100" s="1242"/>
      <c r="CD100" s="1242"/>
      <c r="CE100" s="1242"/>
      <c r="CF100" s="1242"/>
      <c r="CG100" s="1242"/>
      <c r="CH100" s="1242"/>
      <c r="CI100" s="1242"/>
      <c r="CJ100" s="1242"/>
      <c r="CK100" s="1242"/>
      <c r="CL100" s="1242"/>
      <c r="CM100" s="1242"/>
      <c r="CN100" s="1242"/>
      <c r="CO100" s="1242"/>
      <c r="CP100" s="1242"/>
      <c r="CQ100" s="1242"/>
      <c r="CR100" s="1242"/>
      <c r="CS100" s="1242"/>
      <c r="CT100" s="1242"/>
      <c r="CU100" s="1242"/>
      <c r="CV100" s="1242"/>
      <c r="CW100" s="1242"/>
      <c r="CX100" s="1242"/>
      <c r="CY100" s="1242"/>
      <c r="CZ100" s="1242"/>
      <c r="DA100" s="1242"/>
      <c r="DB100" s="1242"/>
    </row>
    <row r="101" spans="19:106" s="1310" customFormat="1">
      <c r="Z101" s="1242"/>
      <c r="AA101" s="1242"/>
      <c r="AB101" s="1242"/>
      <c r="AC101" s="1242"/>
      <c r="AD101" s="1242"/>
      <c r="AE101" s="1242"/>
      <c r="AF101" s="1242"/>
      <c r="AG101" s="1242"/>
      <c r="AH101" s="1242"/>
      <c r="AI101" s="1242"/>
      <c r="AX101" s="1242"/>
      <c r="BC101" s="1242"/>
      <c r="BD101" s="1242"/>
      <c r="BE101" s="1242"/>
      <c r="BF101" s="1242"/>
      <c r="BG101" s="1242"/>
      <c r="BH101" s="1242"/>
      <c r="BI101" s="109"/>
      <c r="BJ101" s="109"/>
      <c r="BK101" s="109"/>
      <c r="BL101" s="109"/>
      <c r="BR101" s="1242"/>
      <c r="BS101" s="1242"/>
      <c r="BT101" s="1242"/>
      <c r="BU101" s="1242"/>
      <c r="BV101" s="1242"/>
      <c r="BW101" s="1242"/>
      <c r="BX101" s="1242"/>
      <c r="BY101" s="1242"/>
      <c r="BZ101" s="1242"/>
      <c r="CA101" s="1242"/>
      <c r="CB101" s="1242"/>
      <c r="CC101" s="1242"/>
      <c r="CD101" s="1242"/>
      <c r="CE101" s="1242"/>
      <c r="CF101" s="1242"/>
      <c r="CG101" s="1242"/>
      <c r="CH101" s="1242"/>
      <c r="CI101" s="1242"/>
      <c r="CJ101" s="1242"/>
      <c r="CK101" s="1242"/>
      <c r="CL101" s="1242"/>
      <c r="CM101" s="1242"/>
      <c r="CN101" s="1242"/>
      <c r="CO101" s="1242"/>
      <c r="CP101" s="1242"/>
      <c r="CQ101" s="1242"/>
      <c r="CR101" s="1242"/>
      <c r="CS101" s="1242"/>
      <c r="CT101" s="1242"/>
      <c r="CU101" s="1242"/>
      <c r="CV101" s="1242"/>
      <c r="CW101" s="1242"/>
      <c r="CX101" s="1242"/>
      <c r="CY101" s="1242"/>
      <c r="CZ101" s="1242"/>
      <c r="DA101" s="1242"/>
      <c r="DB101" s="1242"/>
    </row>
    <row r="102" spans="19:106" s="1310" customFormat="1">
      <c r="Z102" s="1242"/>
      <c r="AA102" s="1242"/>
      <c r="AB102" s="1242"/>
      <c r="AC102" s="1242"/>
      <c r="AD102" s="1242"/>
      <c r="AE102" s="1242"/>
      <c r="AF102" s="1242"/>
      <c r="AG102" s="1242"/>
      <c r="AH102" s="1242"/>
      <c r="AI102" s="1242"/>
      <c r="AX102" s="1242"/>
      <c r="BC102" s="1242"/>
      <c r="BD102" s="1242"/>
      <c r="BE102" s="1242"/>
      <c r="BF102" s="1242"/>
      <c r="BG102" s="1242"/>
      <c r="BH102" s="1242"/>
      <c r="BI102" s="109"/>
      <c r="BJ102" s="109"/>
      <c r="BK102" s="109"/>
      <c r="BL102" s="109"/>
      <c r="BR102" s="1242"/>
      <c r="BS102" s="1242"/>
      <c r="BT102" s="1242"/>
      <c r="BU102" s="1242"/>
      <c r="BV102" s="1242"/>
      <c r="BW102" s="1242"/>
      <c r="BX102" s="1242"/>
      <c r="BY102" s="1242"/>
      <c r="BZ102" s="1242"/>
      <c r="CA102" s="1242"/>
      <c r="CB102" s="1242"/>
      <c r="CC102" s="1242"/>
      <c r="CD102" s="1242"/>
      <c r="CE102" s="1242"/>
      <c r="CF102" s="1242"/>
      <c r="CG102" s="1242"/>
      <c r="CH102" s="1242"/>
      <c r="CI102" s="1242"/>
      <c r="CJ102" s="1242"/>
      <c r="CK102" s="1242"/>
      <c r="CL102" s="1242"/>
      <c r="CM102" s="1242"/>
      <c r="CN102" s="1242"/>
      <c r="CO102" s="1242"/>
      <c r="CP102" s="1242"/>
      <c r="CQ102" s="1242"/>
      <c r="CR102" s="1242"/>
      <c r="CS102" s="1242"/>
      <c r="CT102" s="1242"/>
      <c r="CU102" s="1242"/>
      <c r="CV102" s="1242"/>
      <c r="CW102" s="1242"/>
      <c r="CX102" s="1242"/>
      <c r="CY102" s="1242"/>
      <c r="CZ102" s="1242"/>
      <c r="DA102" s="1242"/>
      <c r="DB102" s="1242"/>
    </row>
    <row r="103" spans="19:106" s="1310" customFormat="1">
      <c r="Z103" s="1242"/>
      <c r="AA103" s="1242"/>
      <c r="AB103" s="1242"/>
      <c r="AC103" s="1242"/>
      <c r="AD103" s="1242"/>
      <c r="AE103" s="1242"/>
      <c r="AF103" s="1242"/>
      <c r="AG103" s="1242"/>
      <c r="AH103" s="1242"/>
      <c r="AI103" s="1242"/>
      <c r="AX103" s="1242"/>
      <c r="BC103" s="1242"/>
      <c r="BD103" s="1242"/>
      <c r="BE103" s="1242"/>
      <c r="BF103" s="1242"/>
      <c r="BG103" s="1242"/>
      <c r="BH103" s="1242"/>
      <c r="BI103" s="109"/>
      <c r="BJ103" s="109"/>
      <c r="BK103" s="109"/>
      <c r="BL103" s="109"/>
      <c r="BR103" s="1242"/>
      <c r="BS103" s="1242"/>
      <c r="BT103" s="1242"/>
      <c r="BU103" s="1242"/>
      <c r="BV103" s="1242"/>
      <c r="BW103" s="1242"/>
      <c r="BX103" s="1242"/>
      <c r="BY103" s="1242"/>
      <c r="BZ103" s="1242"/>
      <c r="CA103" s="1242"/>
      <c r="CB103" s="1242"/>
      <c r="CC103" s="1242"/>
      <c r="CD103" s="1242"/>
      <c r="CE103" s="1242"/>
      <c r="CF103" s="1242"/>
      <c r="CG103" s="1242"/>
      <c r="CH103" s="1242"/>
      <c r="CI103" s="1242"/>
      <c r="CJ103" s="1242"/>
      <c r="CK103" s="1242"/>
      <c r="CL103" s="1242"/>
      <c r="CM103" s="1242"/>
      <c r="CN103" s="1242"/>
      <c r="CO103" s="1242"/>
      <c r="CP103" s="1242"/>
      <c r="CQ103" s="1242"/>
      <c r="CR103" s="1242"/>
      <c r="CS103" s="1242"/>
      <c r="CT103" s="1242"/>
      <c r="CU103" s="1242"/>
      <c r="CV103" s="1242"/>
      <c r="CW103" s="1242"/>
      <c r="CX103" s="1242"/>
      <c r="CY103" s="1242"/>
      <c r="CZ103" s="1242"/>
      <c r="DA103" s="1242"/>
      <c r="DB103" s="1242"/>
    </row>
    <row r="104" spans="19:106" s="1310" customFormat="1">
      <c r="Z104" s="1242"/>
      <c r="AA104" s="1242"/>
      <c r="AB104" s="1242"/>
      <c r="AC104" s="1242"/>
      <c r="AD104" s="1242"/>
      <c r="AE104" s="1242"/>
      <c r="AF104" s="1242"/>
      <c r="AG104" s="1242"/>
      <c r="AH104" s="1242"/>
      <c r="AI104" s="1242"/>
      <c r="AX104" s="1242"/>
      <c r="BC104" s="1242"/>
      <c r="BD104" s="1242"/>
      <c r="BE104" s="1242"/>
      <c r="BF104" s="1242"/>
      <c r="BG104" s="1242"/>
      <c r="BH104" s="1242"/>
      <c r="BI104" s="109"/>
      <c r="BJ104" s="109"/>
      <c r="BK104" s="109"/>
      <c r="BL104" s="109"/>
      <c r="BR104" s="1242"/>
      <c r="BS104" s="1242"/>
      <c r="BT104" s="1242"/>
      <c r="BU104" s="1242"/>
      <c r="BV104" s="1242"/>
      <c r="BW104" s="1242"/>
      <c r="BX104" s="1242"/>
      <c r="BY104" s="1242"/>
      <c r="BZ104" s="1242"/>
      <c r="CA104" s="1242"/>
      <c r="CB104" s="1242"/>
      <c r="CC104" s="1242"/>
      <c r="CD104" s="1242"/>
      <c r="CE104" s="1242"/>
      <c r="CF104" s="1242"/>
      <c r="CG104" s="1242"/>
      <c r="CH104" s="1242"/>
      <c r="CI104" s="1242"/>
      <c r="CJ104" s="1242"/>
      <c r="CK104" s="1242"/>
      <c r="CL104" s="1242"/>
      <c r="CM104" s="1242"/>
      <c r="CN104" s="1242"/>
      <c r="CO104" s="1242"/>
      <c r="CP104" s="1242"/>
      <c r="CQ104" s="1242"/>
      <c r="CR104" s="1242"/>
      <c r="CS104" s="1242"/>
      <c r="CT104" s="1242"/>
      <c r="CU104" s="1242"/>
      <c r="CV104" s="1242"/>
      <c r="CW104" s="1242"/>
      <c r="CX104" s="1242"/>
      <c r="CY104" s="1242"/>
      <c r="CZ104" s="1242"/>
      <c r="DA104" s="1242"/>
      <c r="DB104" s="1242"/>
    </row>
    <row r="105" spans="19:106" s="1310" customFormat="1">
      <c r="Z105" s="1242"/>
      <c r="AA105" s="1242"/>
      <c r="AB105" s="1242"/>
      <c r="AC105" s="1242"/>
      <c r="AD105" s="1242"/>
      <c r="AE105" s="1242"/>
      <c r="AF105" s="1242"/>
      <c r="AG105" s="1242"/>
      <c r="AH105" s="1242"/>
      <c r="AI105" s="1242"/>
      <c r="AX105" s="1242"/>
      <c r="BC105" s="1242"/>
      <c r="BD105" s="1242"/>
      <c r="BE105" s="1242"/>
      <c r="BF105" s="1242"/>
      <c r="BG105" s="1242"/>
      <c r="BH105" s="1242"/>
      <c r="BI105" s="109"/>
      <c r="BJ105" s="109"/>
      <c r="BK105" s="109"/>
      <c r="BL105" s="109"/>
      <c r="BR105" s="1242"/>
      <c r="BS105" s="1242"/>
      <c r="BT105" s="1242"/>
      <c r="BU105" s="1242"/>
      <c r="BV105" s="1242"/>
      <c r="BW105" s="1242"/>
      <c r="BX105" s="1242"/>
      <c r="BY105" s="1242"/>
      <c r="BZ105" s="1242"/>
      <c r="CA105" s="1242"/>
      <c r="CB105" s="1242"/>
      <c r="CC105" s="1242"/>
      <c r="CD105" s="1242"/>
      <c r="CE105" s="1242"/>
      <c r="CF105" s="1242"/>
      <c r="CG105" s="1242"/>
      <c r="CH105" s="1242"/>
      <c r="CI105" s="1242"/>
      <c r="CJ105" s="1242"/>
      <c r="CK105" s="1242"/>
      <c r="CL105" s="1242"/>
      <c r="CM105" s="1242"/>
      <c r="CN105" s="1242"/>
      <c r="CO105" s="1242"/>
      <c r="CP105" s="1242"/>
      <c r="CQ105" s="1242"/>
      <c r="CR105" s="1242"/>
      <c r="CS105" s="1242"/>
      <c r="CT105" s="1242"/>
      <c r="CU105" s="1242"/>
      <c r="CV105" s="1242"/>
      <c r="CW105" s="1242"/>
      <c r="CX105" s="1242"/>
      <c r="CY105" s="1242"/>
      <c r="CZ105" s="1242"/>
      <c r="DA105" s="1242"/>
      <c r="DB105" s="1242"/>
    </row>
    <row r="106" spans="19:106" s="1310" customFormat="1">
      <c r="Z106" s="1242"/>
      <c r="AA106" s="1242"/>
      <c r="AB106" s="1242"/>
      <c r="AC106" s="1242"/>
      <c r="AD106" s="1242"/>
      <c r="AE106" s="1242"/>
      <c r="AF106" s="1242"/>
      <c r="AG106" s="1242"/>
      <c r="AH106" s="1242"/>
      <c r="AI106" s="1242"/>
      <c r="AX106" s="1242"/>
      <c r="BC106" s="1242"/>
      <c r="BD106" s="1242"/>
      <c r="BE106" s="1242"/>
      <c r="BF106" s="1242"/>
      <c r="BG106" s="1242"/>
      <c r="BH106" s="1242"/>
      <c r="BI106" s="109"/>
      <c r="BJ106" s="109"/>
      <c r="BK106" s="109"/>
      <c r="BL106" s="109"/>
      <c r="BR106" s="1242"/>
      <c r="BS106" s="1242"/>
      <c r="BT106" s="1242"/>
      <c r="BU106" s="1242"/>
      <c r="BV106" s="1242"/>
      <c r="BW106" s="1242"/>
      <c r="BX106" s="1242"/>
      <c r="BY106" s="1242"/>
      <c r="BZ106" s="1242"/>
      <c r="CA106" s="1242"/>
      <c r="CB106" s="1242"/>
      <c r="CC106" s="1242"/>
      <c r="CD106" s="1242"/>
      <c r="CE106" s="1242"/>
      <c r="CF106" s="1242"/>
      <c r="CG106" s="1242"/>
      <c r="CH106" s="1242"/>
      <c r="CI106" s="1242"/>
      <c r="CJ106" s="1242"/>
      <c r="CK106" s="1242"/>
      <c r="CL106" s="1242"/>
      <c r="CM106" s="1242"/>
      <c r="CN106" s="1242"/>
      <c r="CO106" s="1242"/>
      <c r="CP106" s="1242"/>
      <c r="CQ106" s="1242"/>
      <c r="CR106" s="1242"/>
      <c r="CS106" s="1242"/>
      <c r="CT106" s="1242"/>
      <c r="CU106" s="1242"/>
      <c r="CV106" s="1242"/>
      <c r="CW106" s="1242"/>
      <c r="CX106" s="1242"/>
      <c r="CY106" s="1242"/>
      <c r="CZ106" s="1242"/>
      <c r="DA106" s="1242"/>
      <c r="DB106" s="1242"/>
    </row>
    <row r="107" spans="19:106" s="1310" customFormat="1">
      <c r="Z107" s="1242"/>
      <c r="AA107" s="1242"/>
      <c r="AB107" s="1242"/>
      <c r="AC107" s="1242"/>
      <c r="AD107" s="1242"/>
      <c r="AE107" s="1242"/>
      <c r="AF107" s="1242"/>
      <c r="AG107" s="1242"/>
      <c r="AH107" s="1242"/>
      <c r="AI107" s="1242"/>
      <c r="AX107" s="1242"/>
      <c r="BC107" s="1242"/>
      <c r="BD107" s="1242"/>
      <c r="BE107" s="1242"/>
      <c r="BF107" s="1242"/>
      <c r="BG107" s="1242"/>
      <c r="BH107" s="1242"/>
      <c r="BI107" s="109"/>
      <c r="BJ107" s="109"/>
      <c r="BK107" s="109"/>
      <c r="BL107" s="109"/>
      <c r="BR107" s="1242"/>
      <c r="BS107" s="1242"/>
      <c r="BT107" s="1242"/>
      <c r="BU107" s="1242"/>
      <c r="BV107" s="1242"/>
      <c r="BW107" s="1242"/>
      <c r="BX107" s="1242"/>
      <c r="BY107" s="1242"/>
      <c r="BZ107" s="1242"/>
      <c r="CA107" s="1242"/>
      <c r="CB107" s="1242"/>
      <c r="CC107" s="1242"/>
      <c r="CD107" s="1242"/>
      <c r="CE107" s="1242"/>
      <c r="CF107" s="1242"/>
      <c r="CG107" s="1242"/>
      <c r="CH107" s="1242"/>
      <c r="CI107" s="1242"/>
      <c r="CJ107" s="1242"/>
      <c r="CK107" s="1242"/>
      <c r="CL107" s="1242"/>
      <c r="CM107" s="1242"/>
      <c r="CN107" s="1242"/>
      <c r="CO107" s="1242"/>
      <c r="CP107" s="1242"/>
      <c r="CQ107" s="1242"/>
      <c r="CR107" s="1242"/>
      <c r="CS107" s="1242"/>
      <c r="CT107" s="1242"/>
      <c r="CU107" s="1242"/>
      <c r="CV107" s="1242"/>
      <c r="CW107" s="1242"/>
      <c r="CX107" s="1242"/>
      <c r="CY107" s="1242"/>
      <c r="CZ107" s="1242"/>
      <c r="DA107" s="1242"/>
      <c r="DB107" s="1242"/>
    </row>
    <row r="108" spans="19:106" s="1310" customFormat="1">
      <c r="Z108" s="1242"/>
      <c r="AA108" s="1242"/>
      <c r="AB108" s="1242"/>
      <c r="AC108" s="1242"/>
      <c r="AD108" s="1242"/>
      <c r="AE108" s="1242"/>
      <c r="AF108" s="1242"/>
      <c r="AG108" s="1242"/>
      <c r="AH108" s="1242"/>
      <c r="AI108" s="1242"/>
      <c r="AX108" s="1242"/>
      <c r="BC108" s="1242"/>
      <c r="BD108" s="1242"/>
      <c r="BE108" s="1242"/>
      <c r="BF108" s="1242"/>
      <c r="BG108" s="1242"/>
      <c r="BH108" s="1242"/>
      <c r="BI108" s="109"/>
      <c r="BJ108" s="109"/>
      <c r="BK108" s="109"/>
      <c r="BL108" s="109"/>
      <c r="BR108" s="1242"/>
      <c r="BS108" s="1242"/>
      <c r="BT108" s="1242"/>
      <c r="BU108" s="1242"/>
      <c r="BV108" s="1242"/>
      <c r="BW108" s="1242"/>
      <c r="BX108" s="1242"/>
      <c r="BY108" s="1242"/>
      <c r="BZ108" s="1242"/>
      <c r="CA108" s="1242"/>
      <c r="CB108" s="1242"/>
      <c r="CC108" s="1242"/>
      <c r="CD108" s="1242"/>
      <c r="CE108" s="1242"/>
      <c r="CF108" s="1242"/>
      <c r="CG108" s="1242"/>
      <c r="CH108" s="1242"/>
      <c r="CI108" s="1242"/>
      <c r="CJ108" s="1242"/>
      <c r="CK108" s="1242"/>
      <c r="CL108" s="1242"/>
      <c r="CM108" s="1242"/>
      <c r="CN108" s="1242"/>
      <c r="CO108" s="1242"/>
      <c r="CP108" s="1242"/>
      <c r="CQ108" s="1242"/>
      <c r="CR108" s="1242"/>
      <c r="CS108" s="1242"/>
      <c r="CT108" s="1242"/>
      <c r="CU108" s="1242"/>
      <c r="CV108" s="1242"/>
      <c r="CW108" s="1242"/>
      <c r="CX108" s="1242"/>
      <c r="CY108" s="1242"/>
      <c r="CZ108" s="1242"/>
      <c r="DA108" s="1242"/>
      <c r="DB108" s="1242"/>
    </row>
    <row r="109" spans="19:106" s="1310" customFormat="1">
      <c r="Z109" s="1242"/>
      <c r="AA109" s="1242"/>
      <c r="AB109" s="1242"/>
      <c r="AC109" s="1242"/>
      <c r="AD109" s="1242"/>
      <c r="AE109" s="1242"/>
      <c r="AF109" s="1242"/>
      <c r="AG109" s="1242"/>
      <c r="AH109" s="1242"/>
      <c r="AI109" s="1242"/>
      <c r="AX109" s="1242"/>
      <c r="BC109" s="1242"/>
      <c r="BD109" s="1242"/>
      <c r="BE109" s="1242"/>
      <c r="BF109" s="1242"/>
      <c r="BG109" s="1242"/>
      <c r="BH109" s="1242"/>
      <c r="BI109" s="109"/>
      <c r="BJ109" s="109"/>
      <c r="BK109" s="109"/>
      <c r="BL109" s="109"/>
      <c r="BR109" s="1242"/>
      <c r="BS109" s="1242"/>
      <c r="BT109" s="1242"/>
      <c r="BU109" s="1242"/>
      <c r="BV109" s="1242"/>
      <c r="BW109" s="1242"/>
      <c r="BX109" s="1242"/>
      <c r="BY109" s="1242"/>
      <c r="BZ109" s="1242"/>
      <c r="CA109" s="1242"/>
      <c r="CB109" s="1242"/>
      <c r="CC109" s="1242"/>
      <c r="CD109" s="1242"/>
      <c r="CE109" s="1242"/>
      <c r="CF109" s="1242"/>
      <c r="CG109" s="1242"/>
      <c r="CH109" s="1242"/>
      <c r="CI109" s="1242"/>
      <c r="CJ109" s="1242"/>
      <c r="CK109" s="1242"/>
      <c r="CL109" s="1242"/>
      <c r="CM109" s="1242"/>
      <c r="CN109" s="1242"/>
      <c r="CO109" s="1242"/>
      <c r="CP109" s="1242"/>
      <c r="CQ109" s="1242"/>
      <c r="CR109" s="1242"/>
      <c r="CS109" s="1242"/>
      <c r="CT109" s="1242"/>
      <c r="CU109" s="1242"/>
      <c r="CV109" s="1242"/>
      <c r="CW109" s="1242"/>
      <c r="CX109" s="1242"/>
      <c r="CY109" s="1242"/>
      <c r="CZ109" s="1242"/>
      <c r="DA109" s="1242"/>
      <c r="DB109" s="1242"/>
    </row>
    <row r="110" spans="19:106">
      <c r="S110" s="1310"/>
      <c r="T110" s="1310"/>
      <c r="U110" s="1310"/>
      <c r="AY110" s="310"/>
      <c r="AZ110" s="310"/>
      <c r="BA110" s="310"/>
      <c r="BB110" s="310"/>
    </row>
    <row r="111" spans="19:106">
      <c r="S111" s="1310"/>
      <c r="T111" s="1310"/>
      <c r="U111" s="1310"/>
      <c r="AY111" s="310"/>
      <c r="AZ111" s="310"/>
      <c r="BA111" s="310"/>
      <c r="BB111" s="310"/>
    </row>
    <row r="112" spans="19:106">
      <c r="AY112" s="310"/>
      <c r="AZ112" s="310"/>
      <c r="BA112" s="310"/>
      <c r="BB112" s="310"/>
    </row>
    <row r="113" spans="51:54">
      <c r="AY113" s="310"/>
      <c r="AZ113" s="310"/>
      <c r="BA113" s="310"/>
      <c r="BB113" s="310"/>
    </row>
  </sheetData>
  <mergeCells count="6">
    <mergeCell ref="A6:G6"/>
    <mergeCell ref="M6:Q6"/>
    <mergeCell ref="BM7:BQ7"/>
    <mergeCell ref="BM8:BQ8"/>
    <mergeCell ref="CI6:CM6"/>
    <mergeCell ref="CD6:CH6"/>
  </mergeCells>
  <phoneticPr fontId="17" type="noConversion"/>
  <conditionalFormatting sqref="A1:DG1">
    <cfRule type="cellIs" dxfId="5" priority="23" stopIfTrue="1" operator="notEqual">
      <formula>0</formula>
    </cfRule>
  </conditionalFormatting>
  <conditionalFormatting sqref="DC1:DG1">
    <cfRule type="cellIs" dxfId="4" priority="2" stopIfTrue="1" operator="notEqual">
      <formula>0</formula>
    </cfRule>
  </conditionalFormatting>
  <printOptions horizontalCentered="1"/>
  <pageMargins left="0.7" right="0.7" top="0.75" bottom="0.75" header="0.3" footer="0.3"/>
  <pageSetup scale="88" orientation="portrait" r:id="rId1"/>
  <headerFooter>
    <oddFooter>&amp;L&amp;"Times New Roman,Bold Italic"&amp;12Amounts presented in bold italic type have changed since PSE's Rebuttal Filing as revised February 16, 2012.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14"/>
  <sheetViews>
    <sheetView zoomScaleNormal="100" workbookViewId="0">
      <pane xSplit="1" ySplit="1" topLeftCell="F2" activePane="bottomRight" state="frozen"/>
      <selection activeCell="Q32" sqref="Q32"/>
      <selection pane="topRight" activeCell="Q32" sqref="Q32"/>
      <selection pane="bottomLeft" activeCell="Q32" sqref="Q32"/>
      <selection pane="bottomRight" activeCell="J48" sqref="J48"/>
    </sheetView>
  </sheetViews>
  <sheetFormatPr defaultColWidth="19.33203125" defaultRowHeight="12.75"/>
  <cols>
    <col min="1" max="1" width="5.83203125" style="7" customWidth="1"/>
    <col min="2" max="2" width="69.33203125" style="7" customWidth="1"/>
    <col min="3" max="3" width="20.6640625" style="7" customWidth="1"/>
    <col min="4" max="4" width="6.5" bestFit="1" customWidth="1"/>
    <col min="5" max="5" width="55.1640625" bestFit="1" customWidth="1"/>
    <col min="9" max="9" width="5.1640625" customWidth="1"/>
    <col min="10" max="10" width="53.33203125" customWidth="1"/>
    <col min="11" max="11" width="17.5" customWidth="1"/>
    <col min="12" max="12" width="10.83203125" customWidth="1"/>
  </cols>
  <sheetData>
    <row r="1" spans="1:13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118" customFormat="1">
      <c r="A2" s="16"/>
      <c r="B2" s="7"/>
      <c r="C2" s="1" t="str">
        <f>DocketNumber</f>
        <v>Docket Number UE-111048</v>
      </c>
      <c r="D2" s="16"/>
      <c r="E2" s="7"/>
      <c r="F2" s="7"/>
      <c r="G2" s="7"/>
      <c r="H2" s="1" t="str">
        <f>DocketNumber</f>
        <v>Docket Number UE-111048</v>
      </c>
      <c r="I2" s="16"/>
      <c r="J2" s="7"/>
      <c r="K2" s="7"/>
      <c r="L2" s="7"/>
      <c r="M2" s="1" t="str">
        <f>DocketNumber</f>
        <v>Docket Number UE-111048</v>
      </c>
    </row>
    <row r="3" spans="1:13" s="118" customFormat="1" ht="13.5" thickBot="1">
      <c r="A3" s="16"/>
      <c r="B3" s="7"/>
      <c r="C3" s="744" t="str">
        <f>Exhibit_No._____JHS_07</f>
        <v>Exhibit No. ___   (JHS-22)</v>
      </c>
      <c r="D3" s="107"/>
      <c r="E3" s="7"/>
      <c r="F3" s="7"/>
      <c r="G3" s="7"/>
      <c r="H3" s="744" t="str">
        <f>Exhibit_No._____JHS_07</f>
        <v>Exhibit No. ___   (JHS-22)</v>
      </c>
      <c r="I3" s="16"/>
      <c r="J3" s="16"/>
      <c r="K3" s="16"/>
      <c r="L3" s="16"/>
      <c r="M3" s="1" t="s">
        <v>1366</v>
      </c>
    </row>
    <row r="4" spans="1:13" s="118" customFormat="1" ht="16.5" thickBot="1">
      <c r="A4" s="168"/>
      <c r="B4" s="1481" t="s">
        <v>1491</v>
      </c>
      <c r="C4" s="458">
        <v>22.01</v>
      </c>
      <c r="D4" s="7"/>
      <c r="E4" s="1481" t="s">
        <v>1491</v>
      </c>
      <c r="F4" s="7"/>
      <c r="G4" s="7"/>
      <c r="H4" s="458">
        <f>C4+0.01</f>
        <v>22.020000000000003</v>
      </c>
      <c r="I4" s="16"/>
      <c r="J4" s="1481" t="s">
        <v>1491</v>
      </c>
      <c r="K4" s="16"/>
      <c r="L4" s="16"/>
      <c r="M4" s="458">
        <f>H4+0.01</f>
        <v>22.030000000000005</v>
      </c>
    </row>
    <row r="5" spans="1:13" s="118" customFormat="1">
      <c r="A5" s="1488" t="s">
        <v>1235</v>
      </c>
      <c r="B5" s="1488"/>
      <c r="C5" s="1488"/>
      <c r="D5" s="18" t="s">
        <v>1235</v>
      </c>
      <c r="E5" s="34"/>
      <c r="F5" s="17"/>
      <c r="G5" s="17"/>
      <c r="H5" s="17"/>
      <c r="I5" s="18" t="s">
        <v>1235</v>
      </c>
      <c r="J5" s="17"/>
      <c r="K5" s="17"/>
      <c r="L5" s="17"/>
      <c r="M5" s="17"/>
    </row>
    <row r="6" spans="1:13" s="118" customFormat="1">
      <c r="A6" s="18" t="s">
        <v>57</v>
      </c>
      <c r="B6" s="34"/>
      <c r="C6" s="34"/>
      <c r="D6" s="17" t="s">
        <v>163</v>
      </c>
      <c r="E6" s="34"/>
      <c r="F6" s="17"/>
      <c r="G6" s="17"/>
      <c r="H6" s="17"/>
      <c r="I6" s="17" t="s">
        <v>320</v>
      </c>
      <c r="J6" s="17"/>
      <c r="K6" s="17"/>
      <c r="L6" s="17"/>
      <c r="M6" s="17"/>
    </row>
    <row r="7" spans="1:13">
      <c r="A7" s="17" t="str">
        <f>TESTYEAR</f>
        <v>FOR THE TWELVE MONTHS ENDED DECEMBER 31, 2010</v>
      </c>
      <c r="B7" s="34"/>
      <c r="C7" s="34"/>
      <c r="D7" s="17" t="str">
        <f>TESTYEAR</f>
        <v>FOR THE TWELVE MONTHS ENDED DECEMBER 31, 2010</v>
      </c>
      <c r="E7" s="34"/>
      <c r="F7" s="17"/>
      <c r="G7" s="17"/>
      <c r="H7" s="17"/>
      <c r="I7" s="17" t="str">
        <f>TESTYEAR</f>
        <v>FOR THE TWELVE MONTHS ENDED DECEMBER 31, 2010</v>
      </c>
      <c r="J7" s="17"/>
      <c r="K7" s="17"/>
      <c r="L7" s="17"/>
      <c r="M7" s="17"/>
    </row>
    <row r="8" spans="1:13">
      <c r="A8" s="18" t="s">
        <v>57</v>
      </c>
      <c r="B8" s="102"/>
      <c r="C8" s="34"/>
      <c r="D8" s="18" t="s">
        <v>57</v>
      </c>
      <c r="E8" s="34"/>
      <c r="F8" s="17"/>
      <c r="G8" s="17"/>
      <c r="H8" s="17"/>
      <c r="I8" s="18" t="s">
        <v>57</v>
      </c>
      <c r="J8" s="17"/>
      <c r="K8" s="17"/>
      <c r="L8" s="17"/>
      <c r="M8" s="17"/>
    </row>
    <row r="9" spans="1:13">
      <c r="D9" s="125"/>
      <c r="E9" s="7"/>
      <c r="F9" s="7"/>
      <c r="G9" s="4" t="s">
        <v>503</v>
      </c>
      <c r="H9" s="4" t="s">
        <v>503</v>
      </c>
      <c r="I9" s="16"/>
      <c r="J9" s="16"/>
      <c r="K9" s="16"/>
      <c r="L9" s="16"/>
      <c r="M9" s="16"/>
    </row>
    <row r="10" spans="1:13">
      <c r="A10" s="4" t="s">
        <v>1153</v>
      </c>
      <c r="C10" s="4" t="s">
        <v>503</v>
      </c>
      <c r="D10" s="4" t="s">
        <v>1153</v>
      </c>
      <c r="E10" s="7"/>
      <c r="F10" s="4" t="s">
        <v>539</v>
      </c>
      <c r="G10" s="4"/>
      <c r="H10" s="4" t="s">
        <v>874</v>
      </c>
      <c r="I10" s="4" t="s">
        <v>1153</v>
      </c>
      <c r="J10" s="16"/>
      <c r="K10" s="16"/>
      <c r="L10" s="16"/>
      <c r="M10" s="16"/>
    </row>
    <row r="11" spans="1:13">
      <c r="A11" s="11" t="s">
        <v>1179</v>
      </c>
      <c r="B11" s="22" t="s">
        <v>323</v>
      </c>
      <c r="C11" s="35" t="s">
        <v>939</v>
      </c>
      <c r="D11" s="11" t="s">
        <v>1179</v>
      </c>
      <c r="E11" s="22" t="s">
        <v>323</v>
      </c>
      <c r="F11" s="11" t="s">
        <v>875</v>
      </c>
      <c r="G11" s="11" t="s">
        <v>46</v>
      </c>
      <c r="H11" s="11" t="s">
        <v>47</v>
      </c>
      <c r="I11" s="11" t="s">
        <v>1179</v>
      </c>
      <c r="J11" s="122" t="s">
        <v>323</v>
      </c>
      <c r="K11" s="76"/>
      <c r="L11" s="76"/>
      <c r="M11" s="23" t="s">
        <v>351</v>
      </c>
    </row>
    <row r="12" spans="1:13">
      <c r="D12" s="13"/>
      <c r="E12" s="13"/>
      <c r="F12" s="13"/>
      <c r="G12" s="13"/>
      <c r="H12" s="13"/>
      <c r="I12" s="7"/>
      <c r="J12" s="7"/>
      <c r="K12" s="7"/>
      <c r="L12" s="7"/>
      <c r="M12" s="37"/>
    </row>
    <row r="13" spans="1:13" ht="13.5">
      <c r="A13" s="8">
        <v>1</v>
      </c>
      <c r="B13" s="7" t="s">
        <v>365</v>
      </c>
      <c r="C13" s="1185">
        <f>'JHS-19'!AP51</f>
        <v>4853248427</v>
      </c>
      <c r="D13" s="8">
        <v>1</v>
      </c>
      <c r="E13" s="7" t="s">
        <v>7</v>
      </c>
      <c r="F13" s="156">
        <v>0.04</v>
      </c>
      <c r="G13" s="1188">
        <v>2.6800000000000001E-2</v>
      </c>
      <c r="H13" s="1188">
        <f>ROUND(F13*G13,4)</f>
        <v>1.1000000000000001E-3</v>
      </c>
      <c r="I13" s="8">
        <v>1</v>
      </c>
      <c r="J13" s="9" t="s">
        <v>941</v>
      </c>
      <c r="K13" s="7"/>
      <c r="L13" s="7"/>
      <c r="M13" s="516">
        <f>'JHS-21'!AW17</f>
        <v>4.444E-3</v>
      </c>
    </row>
    <row r="14" spans="1:13" ht="13.5">
      <c r="A14" s="8">
        <f t="shared" ref="A14:A25" si="0">A13+1</f>
        <v>2</v>
      </c>
      <c r="B14" s="9" t="s">
        <v>937</v>
      </c>
      <c r="C14" s="1186">
        <f>H17</f>
        <v>7.8E-2</v>
      </c>
      <c r="D14" s="8">
        <v>2</v>
      </c>
      <c r="E14" s="7" t="s">
        <v>8</v>
      </c>
      <c r="F14" s="156">
        <f>F17-F13-F15-F16</f>
        <v>0.48</v>
      </c>
      <c r="G14" s="1188">
        <v>6.2199999999999998E-2</v>
      </c>
      <c r="H14" s="1188">
        <f>ROUND(F14*G14,4)</f>
        <v>2.9899999999999999E-2</v>
      </c>
      <c r="I14" s="8">
        <v>2</v>
      </c>
      <c r="J14" s="9" t="s">
        <v>367</v>
      </c>
      <c r="K14" s="7"/>
      <c r="L14" s="7"/>
      <c r="M14" s="516">
        <v>2E-3</v>
      </c>
    </row>
    <row r="15" spans="1:13" ht="13.5">
      <c r="A15" s="8">
        <f t="shared" si="0"/>
        <v>3</v>
      </c>
      <c r="B15" s="9"/>
      <c r="C15" s="569"/>
      <c r="D15" s="8">
        <v>3</v>
      </c>
      <c r="E15" s="7" t="s">
        <v>49</v>
      </c>
      <c r="F15" s="156">
        <v>0</v>
      </c>
      <c r="G15" s="156">
        <v>0</v>
      </c>
      <c r="H15" s="156">
        <f>ROUND(F15*G15,4)</f>
        <v>0</v>
      </c>
      <c r="I15" s="8">
        <v>3</v>
      </c>
      <c r="J15" s="9" t="str">
        <f>"STATE UTILITY TAX ( "&amp;L15*100&amp;"% - ( LINE 1 * "&amp;L15*100&amp;"% )  )"</f>
        <v>STATE UTILITY TAX ( 3.873% - ( LINE 1 * 3.873% )  )</v>
      </c>
      <c r="K15" s="7"/>
      <c r="L15" s="123">
        <v>3.8730000000000001E-2</v>
      </c>
      <c r="M15" s="517">
        <f>ROUND(L15-(L15*M13),6)</f>
        <v>3.8558000000000002E-2</v>
      </c>
    </row>
    <row r="16" spans="1:13" ht="13.5">
      <c r="A16" s="8">
        <f t="shared" si="0"/>
        <v>4</v>
      </c>
      <c r="B16" s="7" t="s">
        <v>145</v>
      </c>
      <c r="C16" s="1095">
        <f>+C13*C14</f>
        <v>378553377.30599999</v>
      </c>
      <c r="D16" s="8">
        <v>4</v>
      </c>
      <c r="E16" s="7" t="s">
        <v>50</v>
      </c>
      <c r="F16" s="166">
        <v>0.48</v>
      </c>
      <c r="G16" s="1186">
        <v>9.8000000000000004E-2</v>
      </c>
      <c r="H16" s="1188">
        <f>ROUND(F16*G16,4)</f>
        <v>4.7E-2</v>
      </c>
      <c r="I16" s="8">
        <v>4</v>
      </c>
      <c r="J16" s="9"/>
      <c r="K16" s="7"/>
      <c r="L16" s="7"/>
      <c r="M16" s="518"/>
    </row>
    <row r="17" spans="1:13" ht="13.5">
      <c r="A17" s="8">
        <f t="shared" si="0"/>
        <v>5</v>
      </c>
      <c r="C17" s="1187"/>
      <c r="D17" s="8">
        <v>5</v>
      </c>
      <c r="E17" s="7" t="s">
        <v>335</v>
      </c>
      <c r="F17" s="167">
        <v>1</v>
      </c>
      <c r="G17" s="1188"/>
      <c r="H17" s="1189">
        <f>SUM(H13:H16)</f>
        <v>7.8E-2</v>
      </c>
      <c r="I17" s="8">
        <v>5</v>
      </c>
      <c r="J17" s="9" t="s">
        <v>32</v>
      </c>
      <c r="K17" s="7"/>
      <c r="L17" s="7"/>
      <c r="M17" s="516">
        <f>ROUND(SUM(M13:M15),6)</f>
        <v>4.5002E-2</v>
      </c>
    </row>
    <row r="18" spans="1:13" ht="13.5">
      <c r="A18" s="8">
        <f t="shared" si="0"/>
        <v>6</v>
      </c>
      <c r="B18" s="9" t="s">
        <v>146</v>
      </c>
      <c r="C18" s="1118">
        <f>'JHS-19'!AM49</f>
        <v>339247942.96077156</v>
      </c>
      <c r="D18" s="8">
        <v>6</v>
      </c>
      <c r="E18" s="7"/>
      <c r="F18" s="156"/>
      <c r="G18" s="1188"/>
      <c r="H18" s="1188"/>
      <c r="I18" s="8">
        <v>6</v>
      </c>
      <c r="J18" s="7"/>
      <c r="K18" s="7"/>
      <c r="L18" s="7"/>
      <c r="M18" s="516"/>
    </row>
    <row r="19" spans="1:13" ht="13.5">
      <c r="A19" s="8">
        <f t="shared" si="0"/>
        <v>7</v>
      </c>
      <c r="B19" s="9" t="s">
        <v>570</v>
      </c>
      <c r="C19" s="1095">
        <f>+C16-C18+0.5</f>
        <v>39305434.845228434</v>
      </c>
      <c r="D19" s="8">
        <v>7</v>
      </c>
      <c r="E19" s="7" t="s">
        <v>9</v>
      </c>
      <c r="F19" s="156">
        <f>F13</f>
        <v>0.04</v>
      </c>
      <c r="G19" s="1188">
        <f>G13*0.65</f>
        <v>1.7420000000000001E-2</v>
      </c>
      <c r="H19" s="1188">
        <f>ROUND(H13*0.65,4)</f>
        <v>6.9999999999999999E-4</v>
      </c>
      <c r="I19" s="8">
        <v>7</v>
      </c>
      <c r="J19" s="7" t="str">
        <f>"CONVERSION FACTOR EXCLUDING FEDERAL INCOME TAX ( 1 - LINE "&amp;$I$17&amp;" )"</f>
        <v>CONVERSION FACTOR EXCLUDING FEDERAL INCOME TAX ( 1 - LINE 5 )</v>
      </c>
      <c r="K19" s="7"/>
      <c r="L19" s="7"/>
      <c r="M19" s="516">
        <f>ROUND(1-M17,6)</f>
        <v>0.95499800000000001</v>
      </c>
    </row>
    <row r="20" spans="1:13" ht="13.5">
      <c r="A20" s="8">
        <f t="shared" si="0"/>
        <v>8</v>
      </c>
      <c r="C20" s="1187"/>
      <c r="D20" s="8">
        <v>8</v>
      </c>
      <c r="E20" s="7" t="s">
        <v>10</v>
      </c>
      <c r="F20" s="156">
        <f>F14</f>
        <v>0.48</v>
      </c>
      <c r="G20" s="1188">
        <f>G14*0.65</f>
        <v>4.0430000000000001E-2</v>
      </c>
      <c r="H20" s="1188">
        <f>ROUND(H14*0.65,4)</f>
        <v>1.9400000000000001E-2</v>
      </c>
      <c r="I20" s="8">
        <v>8</v>
      </c>
      <c r="J20" s="9" t="str">
        <f>"FEDERAL INCOME TAX ( LINE "&amp;I19&amp;"  * "&amp;FIT*100&amp;"% )"</f>
        <v>FEDERAL INCOME TAX ( LINE 7  * 35% )</v>
      </c>
      <c r="K20" s="7"/>
      <c r="L20" s="155">
        <v>0.35</v>
      </c>
      <c r="M20" s="516">
        <f>ROUND((M19)*FIT,6)</f>
        <v>0.33424900000000002</v>
      </c>
    </row>
    <row r="21" spans="1:13" ht="13.5" thickBot="1">
      <c r="A21" s="8">
        <f t="shared" si="0"/>
        <v>9</v>
      </c>
      <c r="B21" s="7" t="s">
        <v>320</v>
      </c>
      <c r="C21" s="441">
        <f>+M21</f>
        <v>0.620749</v>
      </c>
      <c r="D21" s="8">
        <v>9</v>
      </c>
      <c r="E21" s="7" t="s">
        <v>49</v>
      </c>
      <c r="F21" s="156">
        <f>F15</f>
        <v>0</v>
      </c>
      <c r="G21" s="156">
        <f>G15</f>
        <v>0</v>
      </c>
      <c r="H21" s="156">
        <f>ROUND(F21*G21,4)</f>
        <v>0</v>
      </c>
      <c r="I21" s="8">
        <v>9</v>
      </c>
      <c r="J21" s="9" t="str">
        <f>"CONVERSION FACTOR INCL FEDERAL INCOME TAX ( LINE "&amp;I19&amp;" - LINE "&amp;I20&amp;" ) "</f>
        <v xml:space="preserve">CONVERSION FACTOR INCL FEDERAL INCOME TAX ( LINE 7 - LINE 8 ) </v>
      </c>
      <c r="K21" s="7"/>
      <c r="L21" s="7"/>
      <c r="M21" s="821">
        <f>M19-M20</f>
        <v>0.620749</v>
      </c>
    </row>
    <row r="22" spans="1:13" ht="14.25" thickTop="1">
      <c r="A22" s="8">
        <f t="shared" si="0"/>
        <v>10</v>
      </c>
      <c r="B22" s="7" t="s">
        <v>571</v>
      </c>
      <c r="C22" s="424">
        <f>ROUND(+C19/C21,0)</f>
        <v>63319369</v>
      </c>
      <c r="D22" s="8">
        <v>10</v>
      </c>
      <c r="E22" s="7" t="s">
        <v>50</v>
      </c>
      <c r="F22" s="166">
        <f>F16</f>
        <v>0.48</v>
      </c>
      <c r="G22" s="1186">
        <f>G16</f>
        <v>9.8000000000000004E-2</v>
      </c>
      <c r="H22" s="1188">
        <f>ROUND(F22*G22,4)</f>
        <v>4.7E-2</v>
      </c>
    </row>
    <row r="23" spans="1:13" ht="13.5">
      <c r="A23" s="8">
        <f t="shared" si="0"/>
        <v>11</v>
      </c>
      <c r="B23" s="9" t="s">
        <v>822</v>
      </c>
      <c r="C23" s="150">
        <f>'SPEC CONT + FIRM RESALE INC'!J25</f>
        <v>323648</v>
      </c>
      <c r="D23" s="8">
        <v>11</v>
      </c>
      <c r="E23" s="7" t="s">
        <v>582</v>
      </c>
      <c r="F23" s="167">
        <f>SUM(F19:F22)</f>
        <v>1</v>
      </c>
      <c r="G23" s="1188"/>
      <c r="H23" s="1189">
        <f>SUM(H19:H22)</f>
        <v>6.7099999999999993E-2</v>
      </c>
    </row>
    <row r="24" spans="1:13">
      <c r="A24" s="8">
        <f t="shared" si="0"/>
        <v>12</v>
      </c>
      <c r="B24" s="9" t="s">
        <v>1070</v>
      </c>
      <c r="C24" s="150">
        <f>'SPEC CONT + FIRM RESALE INC'!J20</f>
        <v>199891</v>
      </c>
      <c r="G24" s="1179"/>
      <c r="H24" s="1179"/>
    </row>
    <row r="25" spans="1:13" ht="14.25" thickBot="1">
      <c r="A25" s="8">
        <f t="shared" si="0"/>
        <v>13</v>
      </c>
      <c r="B25" s="7" t="s">
        <v>571</v>
      </c>
      <c r="C25" s="1106">
        <f>+C22-C24-C23</f>
        <v>62795830</v>
      </c>
    </row>
    <row r="26" spans="1:13" ht="13.5" thickTop="1"/>
    <row r="28" spans="1:13">
      <c r="C28" s="128"/>
    </row>
    <row r="47" spans="1:3" ht="13.5" customHeight="1">
      <c r="A47" s="8"/>
      <c r="C47" s="166"/>
    </row>
    <row r="72" spans="1:3">
      <c r="A72" s="8"/>
    </row>
    <row r="73" spans="1:3" ht="13.5">
      <c r="A73" s="8"/>
      <c r="B73" s="301"/>
      <c r="C73" s="129"/>
    </row>
    <row r="74" spans="1:3" ht="13.5">
      <c r="A74" s="8"/>
      <c r="B74" s="301"/>
      <c r="C74" s="50"/>
    </row>
    <row r="75" spans="1:3">
      <c r="A75" s="120"/>
      <c r="B75" s="112"/>
      <c r="C75" s="50"/>
    </row>
    <row r="76" spans="1:3" ht="15.75">
      <c r="A76" s="443"/>
      <c r="B76" s="422"/>
      <c r="C76" s="50"/>
    </row>
    <row r="77" spans="1:3">
      <c r="A77" s="444"/>
      <c r="B77" s="422"/>
      <c r="C77" s="445"/>
    </row>
    <row r="78" spans="1:3">
      <c r="A78" s="444"/>
      <c r="B78" s="422"/>
      <c r="C78" s="422"/>
    </row>
    <row r="79" spans="1:3">
      <c r="A79" s="71"/>
      <c r="B79" s="422"/>
      <c r="C79" s="422"/>
    </row>
    <row r="80" spans="1:3">
      <c r="A80" s="444"/>
      <c r="B80" s="446"/>
      <c r="C80" s="422"/>
    </row>
    <row r="81" spans="1:3">
      <c r="A81" s="112"/>
      <c r="B81" s="112"/>
      <c r="C81" s="112"/>
    </row>
    <row r="82" spans="1:3">
      <c r="A82" s="51"/>
      <c r="B82" s="112"/>
      <c r="C82" s="38"/>
    </row>
    <row r="83" spans="1:3">
      <c r="A83" s="51"/>
      <c r="B83" s="106"/>
      <c r="C83" s="38"/>
    </row>
    <row r="84" spans="1:3">
      <c r="A84" s="112"/>
      <c r="B84" s="112"/>
      <c r="C84" s="112"/>
    </row>
    <row r="85" spans="1:3" ht="13.5">
      <c r="A85" s="38"/>
      <c r="B85" s="112"/>
      <c r="C85" s="430"/>
    </row>
    <row r="86" spans="1:3" ht="13.5">
      <c r="A86" s="38"/>
      <c r="B86" s="78"/>
      <c r="C86" s="447"/>
    </row>
    <row r="87" spans="1:3">
      <c r="A87" s="38"/>
      <c r="B87" s="78"/>
      <c r="C87" s="112"/>
    </row>
    <row r="88" spans="1:3" ht="13.5">
      <c r="A88" s="38"/>
      <c r="B88" s="112"/>
      <c r="C88" s="424"/>
    </row>
    <row r="89" spans="1:3">
      <c r="A89" s="38"/>
      <c r="B89" s="112"/>
      <c r="C89" s="130"/>
    </row>
    <row r="90" spans="1:3" ht="13.5">
      <c r="A90" s="38"/>
      <c r="B90" s="78"/>
      <c r="C90" s="424"/>
    </row>
    <row r="91" spans="1:3" ht="13.5">
      <c r="A91" s="38"/>
      <c r="B91" s="78"/>
      <c r="C91" s="424"/>
    </row>
    <row r="92" spans="1:3">
      <c r="A92" s="38"/>
      <c r="B92" s="112"/>
      <c r="C92" s="130"/>
    </row>
    <row r="93" spans="1:3">
      <c r="A93" s="38"/>
      <c r="B93" s="112"/>
      <c r="C93" s="448"/>
    </row>
    <row r="94" spans="1:3" ht="13.5">
      <c r="A94" s="38"/>
      <c r="B94" s="112"/>
      <c r="C94" s="424"/>
    </row>
    <row r="95" spans="1:3">
      <c r="A95" s="38"/>
      <c r="B95" s="78"/>
      <c r="C95" s="150"/>
    </row>
    <row r="96" spans="1:3">
      <c r="A96" s="38"/>
      <c r="B96" s="78"/>
      <c r="C96" s="142"/>
    </row>
    <row r="97" spans="1:3" ht="13.5">
      <c r="A97" s="38"/>
      <c r="B97" s="112"/>
      <c r="C97" s="425"/>
    </row>
    <row r="98" spans="1:3">
      <c r="A98" s="38"/>
      <c r="B98" s="112"/>
      <c r="C98" s="134"/>
    </row>
    <row r="99" spans="1:3">
      <c r="A99" s="112"/>
      <c r="B99" s="112"/>
      <c r="C99" s="112"/>
    </row>
    <row r="100" spans="1:3">
      <c r="A100" s="38"/>
      <c r="B100" s="112"/>
      <c r="C100" s="134"/>
    </row>
    <row r="101" spans="1:3">
      <c r="A101" s="38"/>
      <c r="B101" s="78"/>
      <c r="C101" s="166"/>
    </row>
    <row r="102" spans="1:3">
      <c r="A102" s="38"/>
      <c r="B102" s="78"/>
      <c r="C102" s="112"/>
    </row>
    <row r="103" spans="1:3">
      <c r="A103" s="38"/>
      <c r="B103" s="112"/>
      <c r="C103" s="151"/>
    </row>
    <row r="104" spans="1:3">
      <c r="A104" s="38"/>
      <c r="B104" s="112"/>
      <c r="C104" s="112"/>
    </row>
    <row r="105" spans="1:3">
      <c r="A105" s="38"/>
      <c r="B105" s="78"/>
      <c r="C105" s="151"/>
    </row>
    <row r="106" spans="1:3">
      <c r="A106" s="38"/>
      <c r="B106" s="78"/>
      <c r="C106" s="151"/>
    </row>
    <row r="107" spans="1:3">
      <c r="A107" s="38"/>
      <c r="B107" s="112"/>
      <c r="C107" s="112"/>
    </row>
    <row r="108" spans="1:3">
      <c r="A108" s="38"/>
      <c r="B108" s="112"/>
      <c r="C108" s="449"/>
    </row>
    <row r="109" spans="1:3" ht="13.5">
      <c r="A109" s="38"/>
      <c r="B109" s="112"/>
      <c r="C109" s="424"/>
    </row>
    <row r="110" spans="1:3">
      <c r="A110" s="38"/>
      <c r="B110" s="78"/>
      <c r="C110" s="112"/>
    </row>
    <row r="111" spans="1:3">
      <c r="A111" s="38"/>
      <c r="B111" s="78"/>
      <c r="C111" s="112"/>
    </row>
    <row r="112" spans="1:3">
      <c r="A112" s="38"/>
      <c r="B112" s="112"/>
      <c r="C112" s="112"/>
    </row>
    <row r="113" spans="1:3">
      <c r="A113" s="38"/>
      <c r="B113" s="112"/>
      <c r="C113" s="112"/>
    </row>
    <row r="114" spans="1:3">
      <c r="A114" s="38"/>
    </row>
  </sheetData>
  <mergeCells count="1">
    <mergeCell ref="A5:C5"/>
  </mergeCells>
  <phoneticPr fontId="17" type="noConversion"/>
  <conditionalFormatting sqref="A1:IV1">
    <cfRule type="cellIs" dxfId="3" priority="3" stopIfTrue="1" operator="notEqual">
      <formula>0</formula>
    </cfRule>
  </conditionalFormatting>
  <printOptions horizontalCentered="1"/>
  <pageMargins left="0.95" right="0.7" top="0.75" bottom="0.75" header="0.3" footer="0.3"/>
  <pageSetup scale="92" orientation="portrait" r:id="rId1"/>
  <headerFooter>
    <oddFooter>&amp;L&amp;"Times New Roman,Bold Italic"&amp;10Amounts presented in bold italic type have changed since the September 1, 2011 supplemental filing.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8" zoomScaleNormal="8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" sqref="F2"/>
    </sheetView>
  </sheetViews>
  <sheetFormatPr defaultRowHeight="15.75"/>
  <cols>
    <col min="1" max="1" width="9.33203125" style="1017"/>
    <col min="2" max="2" width="47.5" style="1017" customWidth="1"/>
    <col min="3" max="3" width="11.83203125" style="1017" bestFit="1" customWidth="1"/>
    <col min="4" max="4" width="18.33203125" style="1017" bestFit="1" customWidth="1"/>
    <col min="5" max="5" width="20.5" style="1017" bestFit="1" customWidth="1"/>
    <col min="6" max="7" width="18.33203125" style="1017" bestFit="1" customWidth="1"/>
    <col min="8" max="8" width="20.5" style="1017" bestFit="1" customWidth="1"/>
    <col min="9" max="9" width="17.6640625" style="1017" bestFit="1" customWidth="1"/>
    <col min="10" max="10" width="17.6640625" style="1017" customWidth="1"/>
    <col min="11" max="11" width="19.33203125" style="1017" bestFit="1" customWidth="1"/>
    <col min="12" max="12" width="18.6640625" style="1017" customWidth="1"/>
    <col min="13" max="16384" width="9.33203125" style="1017"/>
  </cols>
  <sheetData>
    <row r="1" spans="1:12" ht="16.5" thickBot="1">
      <c r="L1" s="1" t="s">
        <v>1403</v>
      </c>
    </row>
    <row r="2" spans="1:12" ht="16.5" thickBot="1">
      <c r="A2" s="1017" t="s">
        <v>1001</v>
      </c>
      <c r="F2" s="1481" t="s">
        <v>1491</v>
      </c>
      <c r="L2" s="1"/>
    </row>
    <row r="3" spans="1:12">
      <c r="D3" s="1025">
        <v>0</v>
      </c>
      <c r="E3" s="1025">
        <v>0</v>
      </c>
      <c r="F3" s="1025"/>
      <c r="G3" s="1025"/>
      <c r="H3" s="1025"/>
      <c r="I3" s="1025"/>
      <c r="J3" s="1018"/>
      <c r="K3" s="1018"/>
      <c r="L3" s="1018"/>
    </row>
    <row r="4" spans="1:12">
      <c r="A4" s="1019"/>
      <c r="B4" s="1020"/>
      <c r="C4" s="1030"/>
      <c r="D4" s="1021" t="s">
        <v>1313</v>
      </c>
      <c r="E4" s="1022"/>
      <c r="F4" s="1023"/>
      <c r="G4" s="1021" t="s">
        <v>1314</v>
      </c>
      <c r="H4" s="1022"/>
      <c r="I4" s="1023"/>
      <c r="J4" s="1021" t="s">
        <v>1376</v>
      </c>
      <c r="K4" s="1022"/>
      <c r="L4" s="1023"/>
    </row>
    <row r="5" spans="1:12">
      <c r="A5" s="1024" t="s">
        <v>1311</v>
      </c>
      <c r="B5" s="1024" t="s">
        <v>1285</v>
      </c>
      <c r="C5" s="1024" t="s">
        <v>1377</v>
      </c>
      <c r="D5" s="1019" t="s">
        <v>888</v>
      </c>
      <c r="E5" s="1019" t="s">
        <v>887</v>
      </c>
      <c r="F5" s="1019" t="s">
        <v>1312</v>
      </c>
      <c r="G5" s="1019" t="s">
        <v>888</v>
      </c>
      <c r="H5" s="1019" t="s">
        <v>887</v>
      </c>
      <c r="I5" s="1019" t="s">
        <v>1312</v>
      </c>
      <c r="J5" s="1019" t="s">
        <v>888</v>
      </c>
      <c r="K5" s="1019" t="s">
        <v>887</v>
      </c>
      <c r="L5" s="1019" t="s">
        <v>1312</v>
      </c>
    </row>
    <row r="6" spans="1:12">
      <c r="A6" s="1046" t="s">
        <v>770</v>
      </c>
      <c r="B6" s="1046" t="s">
        <v>773</v>
      </c>
      <c r="C6" s="1046" t="s">
        <v>1345</v>
      </c>
      <c r="D6" s="1046" t="s">
        <v>1346</v>
      </c>
      <c r="E6" s="1046" t="s">
        <v>1347</v>
      </c>
      <c r="F6" s="1046" t="s">
        <v>1348</v>
      </c>
      <c r="G6" s="1046" t="s">
        <v>1349</v>
      </c>
      <c r="H6" s="1046" t="s">
        <v>1350</v>
      </c>
      <c r="I6" s="1046" t="s">
        <v>1351</v>
      </c>
      <c r="J6" s="1046" t="s">
        <v>1352</v>
      </c>
      <c r="K6" s="1046" t="s">
        <v>1353</v>
      </c>
      <c r="L6" s="1046" t="s">
        <v>1378</v>
      </c>
    </row>
    <row r="7" spans="1:12">
      <c r="A7" s="1030"/>
      <c r="B7" s="1032"/>
      <c r="C7" s="1031"/>
      <c r="D7" s="1030"/>
      <c r="E7" s="1031"/>
      <c r="F7" s="1032"/>
      <c r="G7" s="1030"/>
      <c r="H7" s="1031"/>
      <c r="I7" s="1032"/>
      <c r="J7" s="1030"/>
      <c r="K7" s="1031"/>
      <c r="L7" s="1032"/>
    </row>
    <row r="8" spans="1:12">
      <c r="A8" s="1039"/>
      <c r="B8" s="1028" t="s">
        <v>1315</v>
      </c>
      <c r="C8" s="1137"/>
      <c r="D8" s="1036">
        <v>117427311.31048775</v>
      </c>
      <c r="E8" s="1037">
        <v>4100870912.6820273</v>
      </c>
      <c r="F8" s="1038">
        <f>((E8*F$51)-D8)/F$50</f>
        <v>326123151.02998215</v>
      </c>
      <c r="G8" s="1036">
        <v>117427311.31048775</v>
      </c>
      <c r="H8" s="1037">
        <v>4100870912.6196504</v>
      </c>
      <c r="I8" s="1038">
        <f t="shared" ref="I8:I43" si="0">((H8*I$51)-G8)/I$50</f>
        <v>312249864.20814806</v>
      </c>
      <c r="J8" s="1036">
        <f t="shared" ref="J8:J43" si="1">G8-D8</f>
        <v>0</v>
      </c>
      <c r="K8" s="1037">
        <f t="shared" ref="K8:K43" si="2">H8-E8</f>
        <v>-6.2376976013183594E-2</v>
      </c>
      <c r="L8" s="1038">
        <f>I8-F8</f>
        <v>-13873286.821834087</v>
      </c>
    </row>
    <row r="9" spans="1:12" s="1057" customFormat="1">
      <c r="A9" s="1052">
        <v>20.010000000000002</v>
      </c>
      <c r="B9" s="1053" t="s">
        <v>617</v>
      </c>
      <c r="C9" s="1139" t="s">
        <v>426</v>
      </c>
      <c r="D9" s="1056">
        <v>123082268.48713157</v>
      </c>
      <c r="E9" s="1054">
        <v>0</v>
      </c>
      <c r="F9" s="1055">
        <f>((E9*$F$51)-D9)/$F$50</f>
        <v>-198280252.5451214</v>
      </c>
      <c r="G9" s="1056">
        <v>123180497.99698561</v>
      </c>
      <c r="H9" s="1054">
        <v>0</v>
      </c>
      <c r="I9" s="1055">
        <f t="shared" si="0"/>
        <v>-198438496.07004702</v>
      </c>
      <c r="J9" s="1056">
        <f t="shared" si="1"/>
        <v>98229.509854048491</v>
      </c>
      <c r="K9" s="1054">
        <f t="shared" si="2"/>
        <v>0</v>
      </c>
      <c r="L9" s="1055">
        <f t="shared" ref="L9:L42" si="3">I9-F9</f>
        <v>-158243.52492561936</v>
      </c>
    </row>
    <row r="10" spans="1:12" s="1057" customFormat="1">
      <c r="A10" s="1052">
        <v>20.02</v>
      </c>
      <c r="B10" s="1053" t="s">
        <v>626</v>
      </c>
      <c r="C10" s="1139" t="s">
        <v>426</v>
      </c>
      <c r="D10" s="1056">
        <v>-36681492.380249307</v>
      </c>
      <c r="E10" s="1054">
        <v>669984170.72349858</v>
      </c>
      <c r="F10" s="1055">
        <f t="shared" ref="F10:F20" si="4">((E10*$F$51)-D10)/$F$50</f>
        <v>143278938.34171653</v>
      </c>
      <c r="G10" s="1056">
        <v>-36003946.97489541</v>
      </c>
      <c r="H10" s="1054">
        <v>644066095.94904673</v>
      </c>
      <c r="I10" s="1055">
        <f t="shared" si="0"/>
        <v>136751833.12003413</v>
      </c>
      <c r="J10" s="1056">
        <f t="shared" si="1"/>
        <v>677545.40535389632</v>
      </c>
      <c r="K10" s="1054">
        <f t="shared" si="2"/>
        <v>-25918074.774451852</v>
      </c>
      <c r="L10" s="1055">
        <f t="shared" si="3"/>
        <v>-6527105.2216823995</v>
      </c>
    </row>
    <row r="11" spans="1:12" s="1057" customFormat="1">
      <c r="A11" s="1052">
        <v>20.03</v>
      </c>
      <c r="B11" s="1053" t="s">
        <v>1354</v>
      </c>
      <c r="C11" s="1139"/>
      <c r="D11" s="1056">
        <v>-726665.32416489208</v>
      </c>
      <c r="E11" s="1054">
        <v>110846093.21705429</v>
      </c>
      <c r="F11" s="1055">
        <f t="shared" si="4"/>
        <v>15098953.997662704</v>
      </c>
      <c r="G11" s="1056">
        <v>-726666</v>
      </c>
      <c r="H11" s="1054">
        <v>110846093</v>
      </c>
      <c r="I11" s="1055">
        <f t="shared" si="0"/>
        <v>14723961.631351801</v>
      </c>
      <c r="J11" s="1056">
        <f t="shared" si="1"/>
        <v>-0.67583510791882873</v>
      </c>
      <c r="K11" s="1054">
        <f t="shared" si="2"/>
        <v>-0.21705429255962372</v>
      </c>
      <c r="L11" s="1055">
        <f t="shared" si="3"/>
        <v>-374992.3663109038</v>
      </c>
    </row>
    <row r="12" spans="1:12" s="1057" customFormat="1">
      <c r="A12" s="1052">
        <v>20.04</v>
      </c>
      <c r="B12" s="1053" t="s">
        <v>1316</v>
      </c>
      <c r="C12" s="1139" t="s">
        <v>426</v>
      </c>
      <c r="D12" s="1056">
        <v>-91579.854697500152</v>
      </c>
      <c r="E12" s="1054">
        <v>0</v>
      </c>
      <c r="F12" s="1055">
        <f t="shared" si="4"/>
        <v>147531.21583361414</v>
      </c>
      <c r="G12" s="1056">
        <v>-100185.36833499989</v>
      </c>
      <c r="H12" s="1054">
        <v>0</v>
      </c>
      <c r="I12" s="1055">
        <f t="shared" si="0"/>
        <v>161394.32900415448</v>
      </c>
      <c r="J12" s="1056">
        <f t="shared" si="1"/>
        <v>-8605.5136374997383</v>
      </c>
      <c r="K12" s="1054">
        <f t="shared" si="2"/>
        <v>0</v>
      </c>
      <c r="L12" s="1055">
        <f t="shared" si="3"/>
        <v>13863.113170540339</v>
      </c>
    </row>
    <row r="13" spans="1:12" s="1057" customFormat="1">
      <c r="A13" s="1052">
        <v>20.05</v>
      </c>
      <c r="B13" s="1053" t="s">
        <v>1317</v>
      </c>
      <c r="C13" s="1139"/>
      <c r="D13" s="1056">
        <v>179072.65999999997</v>
      </c>
      <c r="E13" s="1054">
        <v>-3370636</v>
      </c>
      <c r="F13" s="1055">
        <f t="shared" si="4"/>
        <v>-712014.46639462968</v>
      </c>
      <c r="G13" s="1056">
        <v>179072.65999999997</v>
      </c>
      <c r="H13" s="1054">
        <v>-3370636</v>
      </c>
      <c r="I13" s="1055">
        <f t="shared" si="0"/>
        <v>-700611.57150474656</v>
      </c>
      <c r="J13" s="1056">
        <f t="shared" si="1"/>
        <v>0</v>
      </c>
      <c r="K13" s="1054">
        <f t="shared" si="2"/>
        <v>0</v>
      </c>
      <c r="L13" s="1055">
        <f t="shared" si="3"/>
        <v>11402.894889883115</v>
      </c>
    </row>
    <row r="14" spans="1:12" s="1057" customFormat="1">
      <c r="A14" s="1052">
        <v>20.059999999999999</v>
      </c>
      <c r="B14" s="1053" t="s">
        <v>1337</v>
      </c>
      <c r="C14" s="1139"/>
      <c r="D14" s="1056">
        <v>108519512.98499936</v>
      </c>
      <c r="E14" s="1054">
        <v>0</v>
      </c>
      <c r="F14" s="1055">
        <f t="shared" si="4"/>
        <v>-174820278.38143817</v>
      </c>
      <c r="G14" s="1056">
        <v>108519512.98499936</v>
      </c>
      <c r="H14" s="1054">
        <v>0</v>
      </c>
      <c r="I14" s="1055">
        <f t="shared" si="0"/>
        <v>-174820278.38143817</v>
      </c>
      <c r="J14" s="1056">
        <f t="shared" si="1"/>
        <v>0</v>
      </c>
      <c r="K14" s="1054">
        <f t="shared" si="2"/>
        <v>0</v>
      </c>
      <c r="L14" s="1055">
        <f t="shared" si="3"/>
        <v>0</v>
      </c>
    </row>
    <row r="15" spans="1:12" s="1057" customFormat="1">
      <c r="A15" s="1052">
        <v>20.07</v>
      </c>
      <c r="B15" s="1053" t="s">
        <v>1318</v>
      </c>
      <c r="C15" s="1139" t="s">
        <v>426</v>
      </c>
      <c r="D15" s="1056">
        <v>1349514.236291667</v>
      </c>
      <c r="E15" s="1054">
        <v>0</v>
      </c>
      <c r="F15" s="1055">
        <f t="shared" si="4"/>
        <v>-2174009.5212262394</v>
      </c>
      <c r="G15" s="1056">
        <v>2107628.4112916663</v>
      </c>
      <c r="H15" s="1054">
        <v>0</v>
      </c>
      <c r="I15" s="1055">
        <f t="shared" si="0"/>
        <v>-3395298.9232228589</v>
      </c>
      <c r="J15" s="1056">
        <f t="shared" si="1"/>
        <v>758114.17499999935</v>
      </c>
      <c r="K15" s="1054">
        <f t="shared" si="2"/>
        <v>0</v>
      </c>
      <c r="L15" s="1055">
        <f t="shared" si="3"/>
        <v>-1221289.4019966195</v>
      </c>
    </row>
    <row r="16" spans="1:12" s="1057" customFormat="1">
      <c r="A16" s="1052">
        <v>20.079999999999998</v>
      </c>
      <c r="B16" s="1053" t="s">
        <v>1319</v>
      </c>
      <c r="C16" s="1139"/>
      <c r="D16" s="1056">
        <v>30284100</v>
      </c>
      <c r="E16" s="1054">
        <v>-56496129.25</v>
      </c>
      <c r="F16" s="1055">
        <f>((E16*$F$51)-D16)/$F$50</f>
        <v>-55885386.978472784</v>
      </c>
      <c r="G16" s="1056">
        <v>30284100</v>
      </c>
      <c r="H16" s="1054">
        <v>-56496129.25</v>
      </c>
      <c r="I16" s="1055">
        <f t="shared" si="0"/>
        <v>-55694260.015038282</v>
      </c>
      <c r="J16" s="1056">
        <f t="shared" si="1"/>
        <v>0</v>
      </c>
      <c r="K16" s="1054">
        <f t="shared" si="2"/>
        <v>0</v>
      </c>
      <c r="L16" s="1055">
        <f t="shared" si="3"/>
        <v>191126.96343450248</v>
      </c>
    </row>
    <row r="17" spans="1:12" s="1057" customFormat="1">
      <c r="A17" s="1052">
        <v>20.09</v>
      </c>
      <c r="B17" s="1053" t="s">
        <v>1320</v>
      </c>
      <c r="C17" s="1139"/>
      <c r="D17" s="1056">
        <v>-4607242.5894999942</v>
      </c>
      <c r="E17" s="1054">
        <v>135630302.1673249</v>
      </c>
      <c r="F17" s="1055">
        <f t="shared" si="4"/>
        <v>24464648.607651941</v>
      </c>
      <c r="G17" s="1056">
        <v>-4607242.5894999942</v>
      </c>
      <c r="H17" s="1054">
        <v>135630302.1673249</v>
      </c>
      <c r="I17" s="1055">
        <f t="shared" si="0"/>
        <v>24005809.955392521</v>
      </c>
      <c r="J17" s="1056">
        <f t="shared" si="1"/>
        <v>0</v>
      </c>
      <c r="K17" s="1054">
        <f t="shared" si="2"/>
        <v>0</v>
      </c>
      <c r="L17" s="1055">
        <f t="shared" si="3"/>
        <v>-458838.6522594206</v>
      </c>
    </row>
    <row r="18" spans="1:12" s="1057" customFormat="1">
      <c r="A18" s="1052">
        <v>20.100000000000001</v>
      </c>
      <c r="B18" s="1053" t="s">
        <v>1338</v>
      </c>
      <c r="C18" s="1139" t="s">
        <v>426</v>
      </c>
      <c r="D18" s="1056">
        <v>4410066.3547771331</v>
      </c>
      <c r="E18" s="1054">
        <v>-21539982.061803341</v>
      </c>
      <c r="F18" s="1055">
        <f>((E18*$F$51)-D18)/$F$50</f>
        <v>-9811026.6075302474</v>
      </c>
      <c r="G18" s="1056">
        <f>759619.462929308-G20</f>
        <v>4410066.2459878186</v>
      </c>
      <c r="H18" s="1054">
        <f>-8857559.81505311-H20</f>
        <v>-21539981.397634003</v>
      </c>
      <c r="I18" s="1055">
        <f t="shared" si="0"/>
        <v>-9738156.3789361548</v>
      </c>
      <c r="J18" s="1056">
        <f t="shared" si="1"/>
        <v>-0.10878931451588869</v>
      </c>
      <c r="K18" s="1054">
        <f t="shared" si="2"/>
        <v>0.66416933760046959</v>
      </c>
      <c r="L18" s="1055">
        <f t="shared" si="3"/>
        <v>72870.228594092652</v>
      </c>
    </row>
    <row r="19" spans="1:12" s="1057" customFormat="1">
      <c r="A19" s="1052">
        <v>20.11</v>
      </c>
      <c r="B19" s="1053" t="s">
        <v>841</v>
      </c>
      <c r="C19" s="1139" t="s">
        <v>426</v>
      </c>
      <c r="D19" s="1056">
        <v>2269627.1111546955</v>
      </c>
      <c r="E19" s="1054">
        <v>-49973478</v>
      </c>
      <c r="F19" s="1055">
        <f t="shared" si="4"/>
        <v>-9935671.8982305191</v>
      </c>
      <c r="G19" s="1056">
        <v>2259160.8263326292</v>
      </c>
      <c r="H19" s="1054">
        <v>-49479845</v>
      </c>
      <c r="I19" s="1055">
        <f t="shared" si="0"/>
        <v>-9689393.0748702437</v>
      </c>
      <c r="J19" s="1056">
        <f t="shared" si="1"/>
        <v>-10466.284822066315</v>
      </c>
      <c r="K19" s="1054">
        <f t="shared" si="2"/>
        <v>493633</v>
      </c>
      <c r="L19" s="1055">
        <f t="shared" si="3"/>
        <v>246278.82336027548</v>
      </c>
    </row>
    <row r="20" spans="1:12" s="1057" customFormat="1">
      <c r="A20" s="1052">
        <v>20.12</v>
      </c>
      <c r="B20" s="1053" t="s">
        <v>1339</v>
      </c>
      <c r="C20" s="1139" t="s">
        <v>426</v>
      </c>
      <c r="D20" s="1056">
        <v>-2977384.1121079563</v>
      </c>
      <c r="E20" s="1054">
        <v>10324092.422502052</v>
      </c>
      <c r="F20" s="1055">
        <f t="shared" si="4"/>
        <v>6093708.2799378112</v>
      </c>
      <c r="G20" s="1056">
        <f>-5616071.97393617*0.65</f>
        <v>-3650446.7830585106</v>
      </c>
      <c r="H20" s="1054">
        <v>12682421.582580894</v>
      </c>
      <c r="I20" s="1055">
        <f t="shared" si="0"/>
        <v>7431413.6328474153</v>
      </c>
      <c r="J20" s="1056">
        <f t="shared" si="1"/>
        <v>-673062.67095055431</v>
      </c>
      <c r="K20" s="1054">
        <f t="shared" si="2"/>
        <v>2358329.1600788422</v>
      </c>
      <c r="L20" s="1055">
        <f>I20-F20</f>
        <v>1337705.3529096041</v>
      </c>
    </row>
    <row r="21" spans="1:12" s="1057" customFormat="1">
      <c r="A21" s="1052" t="s">
        <v>1000</v>
      </c>
      <c r="B21" s="1053" t="s">
        <v>1355</v>
      </c>
      <c r="C21" s="1139" t="s">
        <v>1414</v>
      </c>
      <c r="D21" s="1056"/>
      <c r="E21" s="1054"/>
      <c r="F21" s="1055"/>
      <c r="G21" s="1056"/>
      <c r="H21" s="1054"/>
      <c r="I21" s="1055">
        <f t="shared" si="0"/>
        <v>0</v>
      </c>
      <c r="J21" s="1056">
        <f t="shared" si="1"/>
        <v>0</v>
      </c>
      <c r="K21" s="1054">
        <f t="shared" si="2"/>
        <v>0</v>
      </c>
      <c r="L21" s="1055">
        <f>I21-F21</f>
        <v>0</v>
      </c>
    </row>
    <row r="22" spans="1:12" s="1057" customFormat="1">
      <c r="A22" s="1052">
        <v>21.01</v>
      </c>
      <c r="B22" s="1053" t="s">
        <v>1321</v>
      </c>
      <c r="C22" s="1139"/>
      <c r="D22" s="1056">
        <v>12971429.041821491</v>
      </c>
      <c r="E22" s="1054">
        <v>0</v>
      </c>
      <c r="F22" s="1055">
        <f t="shared" ref="F22:F43" si="5">((E22*$F$51)-D22)/$F$50</f>
        <v>-20896415.526761204</v>
      </c>
      <c r="G22" s="1056">
        <v>12971429.041821491</v>
      </c>
      <c r="H22" s="1054">
        <v>0</v>
      </c>
      <c r="I22" s="1055">
        <f t="shared" si="0"/>
        <v>-20896415.526761204</v>
      </c>
      <c r="J22" s="1056">
        <f t="shared" si="1"/>
        <v>0</v>
      </c>
      <c r="K22" s="1054">
        <f t="shared" si="2"/>
        <v>0</v>
      </c>
      <c r="L22" s="1055">
        <f t="shared" si="3"/>
        <v>0</v>
      </c>
    </row>
    <row r="23" spans="1:12" s="1057" customFormat="1">
      <c r="A23" s="1052">
        <v>21.02</v>
      </c>
      <c r="B23" s="1053" t="s">
        <v>1322</v>
      </c>
      <c r="C23" s="1139" t="s">
        <v>426</v>
      </c>
      <c r="D23" s="1056">
        <v>1352072.5724973306</v>
      </c>
      <c r="E23" s="1054">
        <v>0</v>
      </c>
      <c r="F23" s="1055">
        <f t="shared" si="5"/>
        <v>-2178130.8910643924</v>
      </c>
      <c r="G23" s="1056">
        <v>1490395.0479480047</v>
      </c>
      <c r="H23" s="1054">
        <v>0</v>
      </c>
      <c r="I23" s="1055">
        <f t="shared" si="0"/>
        <v>-2400962.4630051837</v>
      </c>
      <c r="J23" s="1056">
        <f t="shared" si="1"/>
        <v>138322.47545067407</v>
      </c>
      <c r="K23" s="1054">
        <f t="shared" si="2"/>
        <v>0</v>
      </c>
      <c r="L23" s="1055">
        <f t="shared" si="3"/>
        <v>-222831.57194079133</v>
      </c>
    </row>
    <row r="24" spans="1:12" s="1057" customFormat="1">
      <c r="A24" s="1052">
        <v>21.03</v>
      </c>
      <c r="B24" s="1053" t="s">
        <v>1323</v>
      </c>
      <c r="C24" s="1139"/>
      <c r="D24" s="1056">
        <v>-306445.01612366736</v>
      </c>
      <c r="E24" s="1054">
        <v>0</v>
      </c>
      <c r="F24" s="1055">
        <f t="shared" si="5"/>
        <v>493669.77010622225</v>
      </c>
      <c r="G24" s="1056">
        <v>-306445.01612366736</v>
      </c>
      <c r="H24" s="1054">
        <v>0</v>
      </c>
      <c r="I24" s="1055">
        <f t="shared" si="0"/>
        <v>493669.77010622225</v>
      </c>
      <c r="J24" s="1056">
        <f t="shared" si="1"/>
        <v>0</v>
      </c>
      <c r="K24" s="1054">
        <f t="shared" si="2"/>
        <v>0</v>
      </c>
      <c r="L24" s="1055">
        <f t="shared" si="3"/>
        <v>0</v>
      </c>
    </row>
    <row r="25" spans="1:12" s="1057" customFormat="1">
      <c r="A25" s="1052">
        <v>21.04</v>
      </c>
      <c r="B25" s="1053" t="s">
        <v>37</v>
      </c>
      <c r="C25" s="1139" t="s">
        <v>426</v>
      </c>
      <c r="D25" s="1056">
        <v>-60471550.681000993</v>
      </c>
      <c r="E25" s="1054">
        <v>-41414322</v>
      </c>
      <c r="F25" s="1055">
        <f t="shared" si="5"/>
        <v>92213170.806559488</v>
      </c>
      <c r="G25" s="1056">
        <v>-60471550.681000993</v>
      </c>
      <c r="H25" s="1054">
        <v>-41414322</v>
      </c>
      <c r="I25" s="1055">
        <f t="shared" si="0"/>
        <v>92353275.867058977</v>
      </c>
      <c r="J25" s="1056">
        <f t="shared" si="1"/>
        <v>0</v>
      </c>
      <c r="K25" s="1054">
        <f t="shared" si="2"/>
        <v>0</v>
      </c>
      <c r="L25" s="1055">
        <f t="shared" si="3"/>
        <v>140105.06049948931</v>
      </c>
    </row>
    <row r="26" spans="1:12" s="1057" customFormat="1">
      <c r="A26" s="1052">
        <v>21.05</v>
      </c>
      <c r="B26" s="1053" t="s">
        <v>1340</v>
      </c>
      <c r="C26" s="1139" t="s">
        <v>426</v>
      </c>
      <c r="D26" s="1056">
        <v>52657745.43294999</v>
      </c>
      <c r="E26" s="1054">
        <v>0</v>
      </c>
      <c r="F26" s="1055">
        <f t="shared" si="5"/>
        <v>-84829368.122945011</v>
      </c>
      <c r="G26" s="1056">
        <v>54057381.384020001</v>
      </c>
      <c r="H26" s="1054">
        <v>0</v>
      </c>
      <c r="I26" s="1055">
        <f t="shared" si="0"/>
        <v>-87084121.575741559</v>
      </c>
      <c r="J26" s="1056">
        <f t="shared" si="1"/>
        <v>1399635.9510700107</v>
      </c>
      <c r="K26" s="1054">
        <f t="shared" si="2"/>
        <v>0</v>
      </c>
      <c r="L26" s="1055">
        <f t="shared" si="3"/>
        <v>-2254753.4527965486</v>
      </c>
    </row>
    <row r="27" spans="1:12" s="1057" customFormat="1">
      <c r="A27" s="1052">
        <v>21.06</v>
      </c>
      <c r="B27" s="1053" t="s">
        <v>1324</v>
      </c>
      <c r="C27" s="1139" t="s">
        <v>426</v>
      </c>
      <c r="D27" s="1056">
        <v>-4308880.5580122033</v>
      </c>
      <c r="E27" s="1054">
        <v>0</v>
      </c>
      <c r="F27" s="1055">
        <f t="shared" si="5"/>
        <v>6941421.6664258875</v>
      </c>
      <c r="G27" s="1056">
        <v>-4219510.9367918158</v>
      </c>
      <c r="H27" s="1054">
        <v>0</v>
      </c>
      <c r="I27" s="1055">
        <f t="shared" si="0"/>
        <v>6797451.0418733107</v>
      </c>
      <c r="J27" s="1056">
        <f t="shared" si="1"/>
        <v>89369.621220387518</v>
      </c>
      <c r="K27" s="1054">
        <f t="shared" si="2"/>
        <v>0</v>
      </c>
      <c r="L27" s="1055">
        <f t="shared" si="3"/>
        <v>-143970.6245525768</v>
      </c>
    </row>
    <row r="28" spans="1:12" s="1057" customFormat="1">
      <c r="A28" s="1052">
        <v>21.07</v>
      </c>
      <c r="B28" s="1053" t="s">
        <v>1325</v>
      </c>
      <c r="C28" s="1139"/>
      <c r="D28" s="1056">
        <v>688452.72599345422</v>
      </c>
      <c r="E28" s="1054">
        <v>-233768.72008898749</v>
      </c>
      <c r="F28" s="1055">
        <f t="shared" si="5"/>
        <v>-1138441.9244499714</v>
      </c>
      <c r="G28" s="1056">
        <v>688452.72599345422</v>
      </c>
      <c r="H28" s="1054">
        <v>-233768.72008898749</v>
      </c>
      <c r="I28" s="1055">
        <f t="shared" si="0"/>
        <v>-1137651.0825602754</v>
      </c>
      <c r="J28" s="1056">
        <f t="shared" si="1"/>
        <v>0</v>
      </c>
      <c r="K28" s="1054">
        <f t="shared" si="2"/>
        <v>0</v>
      </c>
      <c r="L28" s="1055">
        <f t="shared" si="3"/>
        <v>790.84188969596289</v>
      </c>
    </row>
    <row r="29" spans="1:12" s="1057" customFormat="1">
      <c r="A29" s="1052">
        <v>21.08</v>
      </c>
      <c r="B29" s="1053" t="s">
        <v>1326</v>
      </c>
      <c r="C29" s="1139"/>
      <c r="D29" s="1056">
        <v>-725617.91982013779</v>
      </c>
      <c r="E29" s="1054">
        <v>0</v>
      </c>
      <c r="F29" s="1055">
        <f t="shared" si="5"/>
        <v>1168939.3294554446</v>
      </c>
      <c r="G29" s="1056">
        <v>-725617.91982013779</v>
      </c>
      <c r="H29" s="1054">
        <v>0</v>
      </c>
      <c r="I29" s="1055">
        <f t="shared" si="0"/>
        <v>1168939.3294554446</v>
      </c>
      <c r="J29" s="1056">
        <f t="shared" si="1"/>
        <v>0</v>
      </c>
      <c r="K29" s="1054">
        <f t="shared" si="2"/>
        <v>0</v>
      </c>
      <c r="L29" s="1055">
        <f t="shared" si="3"/>
        <v>0</v>
      </c>
    </row>
    <row r="30" spans="1:12" s="1057" customFormat="1">
      <c r="A30" s="1052">
        <v>21.09</v>
      </c>
      <c r="B30" s="1053" t="s">
        <v>1327</v>
      </c>
      <c r="C30" s="1139"/>
      <c r="D30" s="1056">
        <v>1638181</v>
      </c>
      <c r="E30" s="1054">
        <v>0</v>
      </c>
      <c r="F30" s="1055">
        <f t="shared" si="5"/>
        <v>-2639039.2896323637</v>
      </c>
      <c r="G30" s="1056">
        <v>1638181</v>
      </c>
      <c r="H30" s="1054">
        <v>0</v>
      </c>
      <c r="I30" s="1055">
        <f t="shared" si="0"/>
        <v>-2639039.2896323637</v>
      </c>
      <c r="J30" s="1056">
        <f t="shared" si="1"/>
        <v>0</v>
      </c>
      <c r="K30" s="1054">
        <f t="shared" si="2"/>
        <v>0</v>
      </c>
      <c r="L30" s="1055">
        <f t="shared" si="3"/>
        <v>0</v>
      </c>
    </row>
    <row r="31" spans="1:12" s="1057" customFormat="1">
      <c r="A31" s="1052">
        <v>21.1</v>
      </c>
      <c r="B31" s="1053" t="s">
        <v>1328</v>
      </c>
      <c r="C31" s="1139" t="s">
        <v>426</v>
      </c>
      <c r="D31" s="1056">
        <v>482219.63650440378</v>
      </c>
      <c r="E31" s="1054">
        <v>0</v>
      </c>
      <c r="F31" s="1055">
        <f t="shared" si="5"/>
        <v>-776835.14029729215</v>
      </c>
      <c r="G31" s="1056">
        <v>2277270.0899879383</v>
      </c>
      <c r="H31" s="1054">
        <v>0</v>
      </c>
      <c r="I31" s="1055">
        <f t="shared" si="0"/>
        <v>-3668584.3875510688</v>
      </c>
      <c r="J31" s="1056">
        <f t="shared" si="1"/>
        <v>1795050.4534835345</v>
      </c>
      <c r="K31" s="1054">
        <f t="shared" si="2"/>
        <v>0</v>
      </c>
      <c r="L31" s="1055">
        <f t="shared" si="3"/>
        <v>-2891749.2472537765</v>
      </c>
    </row>
    <row r="32" spans="1:12" s="1057" customFormat="1">
      <c r="A32" s="1052">
        <v>21.11</v>
      </c>
      <c r="B32" s="1053" t="s">
        <v>1329</v>
      </c>
      <c r="C32" s="1139" t="s">
        <v>426</v>
      </c>
      <c r="D32" s="1056">
        <v>-3036132.0799999982</v>
      </c>
      <c r="E32" s="1054">
        <v>0</v>
      </c>
      <c r="F32" s="1055">
        <f t="shared" si="5"/>
        <v>4891078.4874401698</v>
      </c>
      <c r="G32" s="1056">
        <v>-3036132.0799999982</v>
      </c>
      <c r="H32" s="1054">
        <v>0</v>
      </c>
      <c r="I32" s="1055">
        <f t="shared" si="0"/>
        <v>4891078.4874401698</v>
      </c>
      <c r="J32" s="1056">
        <f t="shared" si="1"/>
        <v>0</v>
      </c>
      <c r="K32" s="1054">
        <f t="shared" si="2"/>
        <v>0</v>
      </c>
      <c r="L32" s="1055">
        <f t="shared" si="3"/>
        <v>0</v>
      </c>
    </row>
    <row r="33" spans="1:12" s="1057" customFormat="1">
      <c r="A33" s="1052">
        <v>21.12</v>
      </c>
      <c r="B33" s="1053" t="s">
        <v>1330</v>
      </c>
      <c r="C33" s="1139"/>
      <c r="D33" s="1056">
        <v>-200979.42278499901</v>
      </c>
      <c r="E33" s="1054">
        <v>0</v>
      </c>
      <c r="F33" s="1055">
        <f t="shared" si="5"/>
        <v>323769.22521824285</v>
      </c>
      <c r="G33" s="1056">
        <v>-200979.42278499901</v>
      </c>
      <c r="H33" s="1054">
        <v>0</v>
      </c>
      <c r="I33" s="1055">
        <f t="shared" si="0"/>
        <v>323769.22521824285</v>
      </c>
      <c r="J33" s="1056">
        <f t="shared" si="1"/>
        <v>0</v>
      </c>
      <c r="K33" s="1054">
        <f t="shared" si="2"/>
        <v>0</v>
      </c>
      <c r="L33" s="1055">
        <f t="shared" si="3"/>
        <v>0</v>
      </c>
    </row>
    <row r="34" spans="1:12" s="1057" customFormat="1">
      <c r="A34" s="1052">
        <v>21.13</v>
      </c>
      <c r="B34" s="1053" t="s">
        <v>1331</v>
      </c>
      <c r="C34" s="1139" t="s">
        <v>426</v>
      </c>
      <c r="D34" s="1056">
        <v>33583.776494048085</v>
      </c>
      <c r="E34" s="1054">
        <v>0</v>
      </c>
      <c r="F34" s="1055">
        <f t="shared" si="5"/>
        <v>-54102.022708128541</v>
      </c>
      <c r="G34" s="1056">
        <v>77591.437455226289</v>
      </c>
      <c r="H34" s="1054">
        <v>0</v>
      </c>
      <c r="I34" s="1055">
        <f t="shared" si="0"/>
        <v>-124996.47595924647</v>
      </c>
      <c r="J34" s="1056">
        <f t="shared" si="1"/>
        <v>44007.660961178204</v>
      </c>
      <c r="K34" s="1054">
        <f t="shared" si="2"/>
        <v>0</v>
      </c>
      <c r="L34" s="1055">
        <f t="shared" si="3"/>
        <v>-70894.453251117928</v>
      </c>
    </row>
    <row r="35" spans="1:12" s="1057" customFormat="1">
      <c r="A35" s="1052">
        <v>21.14</v>
      </c>
      <c r="B35" s="1053" t="s">
        <v>1341</v>
      </c>
      <c r="C35" s="1139"/>
      <c r="D35" s="1056">
        <v>-47149</v>
      </c>
      <c r="E35" s="1054">
        <v>0</v>
      </c>
      <c r="F35" s="1055">
        <f t="shared" si="5"/>
        <v>75955.015634338517</v>
      </c>
      <c r="G35" s="1056">
        <v>-47149</v>
      </c>
      <c r="H35" s="1054">
        <v>0</v>
      </c>
      <c r="I35" s="1055">
        <f t="shared" si="0"/>
        <v>75955.015634338517</v>
      </c>
      <c r="J35" s="1056">
        <f t="shared" si="1"/>
        <v>0</v>
      </c>
      <c r="K35" s="1054">
        <f t="shared" si="2"/>
        <v>0</v>
      </c>
      <c r="L35" s="1055">
        <f t="shared" si="3"/>
        <v>0</v>
      </c>
    </row>
    <row r="36" spans="1:12" s="1057" customFormat="1">
      <c r="A36" s="1052">
        <v>21.15</v>
      </c>
      <c r="B36" s="1053" t="s">
        <v>1332</v>
      </c>
      <c r="C36" s="1139" t="s">
        <v>426</v>
      </c>
      <c r="D36" s="1056">
        <v>44411.25</v>
      </c>
      <c r="E36" s="1054">
        <v>0</v>
      </c>
      <c r="F36" s="1055">
        <f t="shared" si="5"/>
        <v>-71544.617872924486</v>
      </c>
      <c r="G36" s="1056">
        <v>0</v>
      </c>
      <c r="H36" s="1054">
        <v>0</v>
      </c>
      <c r="I36" s="1055">
        <f t="shared" si="0"/>
        <v>0</v>
      </c>
      <c r="J36" s="1056">
        <f t="shared" si="1"/>
        <v>-44411.25</v>
      </c>
      <c r="K36" s="1054">
        <f t="shared" si="2"/>
        <v>0</v>
      </c>
      <c r="L36" s="1055">
        <f t="shared" si="3"/>
        <v>71544.617872924486</v>
      </c>
    </row>
    <row r="37" spans="1:12" s="1057" customFormat="1">
      <c r="A37" s="1052">
        <v>21.16</v>
      </c>
      <c r="B37" s="1053" t="s">
        <v>1342</v>
      </c>
      <c r="C37" s="1139"/>
      <c r="D37" s="1056">
        <v>-1028316.1308333338</v>
      </c>
      <c r="E37" s="1054">
        <v>0</v>
      </c>
      <c r="F37" s="1055">
        <f t="shared" si="5"/>
        <v>1656573.157320163</v>
      </c>
      <c r="G37" s="1056">
        <v>-1028316.1308333338</v>
      </c>
      <c r="H37" s="1054">
        <v>0</v>
      </c>
      <c r="I37" s="1055">
        <f t="shared" si="0"/>
        <v>1656573.157320163</v>
      </c>
      <c r="J37" s="1056">
        <f t="shared" si="1"/>
        <v>0</v>
      </c>
      <c r="K37" s="1054">
        <f t="shared" si="2"/>
        <v>0</v>
      </c>
      <c r="L37" s="1055">
        <f t="shared" si="3"/>
        <v>0</v>
      </c>
    </row>
    <row r="38" spans="1:12" s="1057" customFormat="1">
      <c r="A38" s="1052">
        <v>21.17</v>
      </c>
      <c r="B38" s="1053" t="s">
        <v>1333</v>
      </c>
      <c r="C38" s="1139"/>
      <c r="D38" s="1056">
        <v>-124477.49122349142</v>
      </c>
      <c r="E38" s="1054">
        <v>0</v>
      </c>
      <c r="F38" s="1055">
        <f t="shared" si="5"/>
        <v>200527.89649840986</v>
      </c>
      <c r="G38" s="1056">
        <v>-124477.49122349142</v>
      </c>
      <c r="H38" s="1054">
        <v>0</v>
      </c>
      <c r="I38" s="1055">
        <f t="shared" si="0"/>
        <v>200527.89649840986</v>
      </c>
      <c r="J38" s="1056">
        <f t="shared" si="1"/>
        <v>0</v>
      </c>
      <c r="K38" s="1054">
        <f t="shared" si="2"/>
        <v>0</v>
      </c>
      <c r="L38" s="1055">
        <f t="shared" si="3"/>
        <v>0</v>
      </c>
    </row>
    <row r="39" spans="1:12" s="1057" customFormat="1">
      <c r="A39" s="1052">
        <v>21.18</v>
      </c>
      <c r="B39" s="1053" t="s">
        <v>1334</v>
      </c>
      <c r="C39" s="1139"/>
      <c r="D39" s="1056">
        <v>-1199983.8866266394</v>
      </c>
      <c r="E39" s="1054">
        <v>0</v>
      </c>
      <c r="F39" s="1055">
        <f t="shared" si="5"/>
        <v>1933122.5449040425</v>
      </c>
      <c r="G39" s="1056">
        <v>-1199983.8866266394</v>
      </c>
      <c r="H39" s="1054">
        <v>0</v>
      </c>
      <c r="I39" s="1055">
        <f t="shared" si="0"/>
        <v>1933122.5449040425</v>
      </c>
      <c r="J39" s="1056">
        <f t="shared" si="1"/>
        <v>0</v>
      </c>
      <c r="K39" s="1054">
        <f t="shared" si="2"/>
        <v>0</v>
      </c>
      <c r="L39" s="1055">
        <f t="shared" si="3"/>
        <v>0</v>
      </c>
    </row>
    <row r="40" spans="1:12" s="1057" customFormat="1">
      <c r="A40" s="1052">
        <v>21.19</v>
      </c>
      <c r="B40" s="1053" t="s">
        <v>1335</v>
      </c>
      <c r="C40" s="1139"/>
      <c r="D40" s="1056">
        <v>-1512829.5</v>
      </c>
      <c r="E40" s="1054">
        <v>0</v>
      </c>
      <c r="F40" s="1055">
        <f t="shared" si="5"/>
        <v>2437103.4025024609</v>
      </c>
      <c r="G40" s="1056">
        <v>-1512829.5</v>
      </c>
      <c r="H40" s="1054">
        <v>0</v>
      </c>
      <c r="I40" s="1055">
        <f t="shared" si="0"/>
        <v>2437103.4025024609</v>
      </c>
      <c r="J40" s="1056">
        <f t="shared" si="1"/>
        <v>0</v>
      </c>
      <c r="K40" s="1054">
        <f t="shared" si="2"/>
        <v>0</v>
      </c>
      <c r="L40" s="1055">
        <f t="shared" si="3"/>
        <v>0</v>
      </c>
    </row>
    <row r="41" spans="1:12" s="1057" customFormat="1">
      <c r="A41" s="1052">
        <v>21.2</v>
      </c>
      <c r="B41" s="1053" t="s">
        <v>852</v>
      </c>
      <c r="C41" s="1139"/>
      <c r="D41" s="1056">
        <v>-83623.673185823485</v>
      </c>
      <c r="E41" s="1054">
        <v>0</v>
      </c>
      <c r="F41" s="1055">
        <f t="shared" si="5"/>
        <v>134714.14885215036</v>
      </c>
      <c r="G41" s="1056">
        <v>-83623.673185823485</v>
      </c>
      <c r="H41" s="1054">
        <v>0</v>
      </c>
      <c r="I41" s="1055">
        <f t="shared" si="0"/>
        <v>134714.14885215036</v>
      </c>
      <c r="J41" s="1056">
        <f t="shared" si="1"/>
        <v>0</v>
      </c>
      <c r="K41" s="1054">
        <f t="shared" si="2"/>
        <v>0</v>
      </c>
      <c r="L41" s="1055">
        <f t="shared" si="3"/>
        <v>0</v>
      </c>
    </row>
    <row r="42" spans="1:12" s="1057" customFormat="1">
      <c r="A42" s="1052">
        <v>21.21</v>
      </c>
      <c r="B42" s="1053" t="s">
        <v>853</v>
      </c>
      <c r="C42" s="1139" t="s">
        <v>426</v>
      </c>
      <c r="D42" s="1056">
        <v>-11276</v>
      </c>
      <c r="E42" s="1054">
        <v>0</v>
      </c>
      <c r="F42" s="1055">
        <f t="shared" si="5"/>
        <v>18165.152098513248</v>
      </c>
      <c r="G42" s="1056">
        <v>69938</v>
      </c>
      <c r="H42" s="1054">
        <v>0</v>
      </c>
      <c r="I42" s="1055">
        <f t="shared" si="0"/>
        <v>-112667.11666067928</v>
      </c>
      <c r="J42" s="1056">
        <f t="shared" si="1"/>
        <v>81214</v>
      </c>
      <c r="K42" s="1054">
        <f t="shared" si="2"/>
        <v>0</v>
      </c>
      <c r="L42" s="1055">
        <f t="shared" si="3"/>
        <v>-130832.26875919254</v>
      </c>
    </row>
    <row r="43" spans="1:12" s="1057" customFormat="1">
      <c r="A43" s="1052">
        <v>21.22</v>
      </c>
      <c r="B43" s="1053" t="s">
        <v>1336</v>
      </c>
      <c r="C43" s="1139" t="s">
        <v>426</v>
      </c>
      <c r="D43" s="1056">
        <v>0</v>
      </c>
      <c r="E43" s="1054">
        <v>-1378827.912193805</v>
      </c>
      <c r="F43" s="1055">
        <f t="shared" si="5"/>
        <v>-173256.14242007121</v>
      </c>
      <c r="G43" s="1056">
        <v>0</v>
      </c>
      <c r="H43" s="1054">
        <v>-34987817.627189338</v>
      </c>
      <c r="I43" s="1055">
        <f t="shared" si="0"/>
        <v>-4278017.9394629234</v>
      </c>
      <c r="J43" s="1056">
        <f t="shared" si="1"/>
        <v>0</v>
      </c>
      <c r="K43" s="1054">
        <f t="shared" si="2"/>
        <v>-33608989.714995533</v>
      </c>
      <c r="L43" s="1055">
        <f>I43-F43</f>
        <v>-4104761.7970428523</v>
      </c>
    </row>
    <row r="44" spans="1:12">
      <c r="A44" s="1040"/>
      <c r="B44" s="1028" t="s">
        <v>1343</v>
      </c>
      <c r="C44" s="1137"/>
      <c r="D44" s="1047">
        <f t="shared" ref="D44:L44" si="6">SUM(D9:D43)</f>
        <v>221820631.65028426</v>
      </c>
      <c r="E44" s="1048">
        <f t="shared" si="6"/>
        <v>752377514.5862937</v>
      </c>
      <c r="F44" s="1049">
        <f t="shared" si="6"/>
        <v>-262803783.03074723</v>
      </c>
      <c r="G44" s="1047">
        <f t="shared" si="6"/>
        <v>226165574.39864343</v>
      </c>
      <c r="H44" s="1048">
        <f t="shared" si="6"/>
        <v>695702412.70404029</v>
      </c>
      <c r="I44" s="1049">
        <f t="shared" si="6"/>
        <v>-279278357.71689802</v>
      </c>
      <c r="J44" s="1047">
        <f t="shared" si="6"/>
        <v>4344942.7483591856</v>
      </c>
      <c r="K44" s="1048">
        <f t="shared" si="6"/>
        <v>-56675101.882253498</v>
      </c>
      <c r="L44" s="1049">
        <f t="shared" si="6"/>
        <v>-16474574.686150813</v>
      </c>
    </row>
    <row r="45" spans="1:12" ht="16.5" thickBot="1">
      <c r="A45" s="1040"/>
      <c r="B45" s="1028" t="s">
        <v>1344</v>
      </c>
      <c r="C45" s="1137"/>
      <c r="D45" s="1043">
        <f t="shared" ref="D45:L45" si="7">D8+D44</f>
        <v>339247942.96077204</v>
      </c>
      <c r="E45" s="1044">
        <f t="shared" si="7"/>
        <v>4853248427.268321</v>
      </c>
      <c r="F45" s="1478">
        <f>F8+F44+F53-1</f>
        <v>63319366.999234915</v>
      </c>
      <c r="G45" s="1043">
        <f t="shared" si="7"/>
        <v>343592885.70913118</v>
      </c>
      <c r="H45" s="1044">
        <f t="shared" si="7"/>
        <v>4796573325.3236904</v>
      </c>
      <c r="I45" s="1045">
        <f t="shared" si="7"/>
        <v>32971506.491250038</v>
      </c>
      <c r="J45" s="1043">
        <f t="shared" si="7"/>
        <v>4344942.7483591856</v>
      </c>
      <c r="K45" s="1044">
        <f t="shared" si="7"/>
        <v>-56675101.944630474</v>
      </c>
      <c r="L45" s="1045">
        <f t="shared" si="7"/>
        <v>-30347861.507984899</v>
      </c>
    </row>
    <row r="46" spans="1:12" ht="16.5" thickTop="1">
      <c r="A46" s="1041"/>
      <c r="B46" s="1042"/>
      <c r="C46" s="1138"/>
      <c r="D46" s="1033"/>
      <c r="E46" s="1034"/>
      <c r="F46" s="1034"/>
      <c r="G46" s="1034"/>
      <c r="H46" s="1034"/>
      <c r="I46" s="1034"/>
      <c r="J46" s="1034"/>
      <c r="K46" s="1034"/>
      <c r="L46" s="1035"/>
    </row>
    <row r="47" spans="1:12">
      <c r="A47" s="1026"/>
      <c r="D47" s="1029"/>
      <c r="E47" s="1029"/>
      <c r="F47" s="1029"/>
      <c r="G47" s="1029"/>
      <c r="H47" s="1029"/>
      <c r="I47" s="1029"/>
      <c r="J47" s="1029"/>
      <c r="K47" s="1029"/>
      <c r="L47" s="1029"/>
    </row>
    <row r="48" spans="1:12">
      <c r="A48" s="1026"/>
      <c r="F48" s="1027"/>
      <c r="J48" s="1025"/>
      <c r="K48" s="1025"/>
      <c r="L48" s="1025"/>
    </row>
    <row r="49" spans="1:11">
      <c r="A49" s="1026"/>
    </row>
    <row r="50" spans="1:11">
      <c r="A50" s="1026"/>
      <c r="B50" s="1017" t="s">
        <v>320</v>
      </c>
      <c r="F50" s="1017">
        <v>0.620749</v>
      </c>
      <c r="I50" s="1017">
        <v>0.620749</v>
      </c>
    </row>
    <row r="51" spans="1:11">
      <c r="A51" s="1026"/>
      <c r="B51" s="1017" t="s">
        <v>937</v>
      </c>
      <c r="F51" s="1018">
        <f>'JHS-22'!H17</f>
        <v>7.8E-2</v>
      </c>
      <c r="I51" s="1018">
        <v>7.5899999999999995E-2</v>
      </c>
      <c r="J51" s="1018"/>
      <c r="K51" s="1018"/>
    </row>
    <row r="52" spans="1:11">
      <c r="G52" s="1027"/>
      <c r="H52" s="1027"/>
    </row>
  </sheetData>
  <phoneticPr fontId="0" type="noConversion"/>
  <conditionalFormatting sqref="D3:I3">
    <cfRule type="cellIs" dxfId="2" priority="2" operator="notEqual">
      <formula>0</formula>
    </cfRule>
  </conditionalFormatting>
  <printOptions horizontalCentered="1"/>
  <pageMargins left="0.45" right="0.45" top="0.5" bottom="0.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K53"/>
  <sheetViews>
    <sheetView zoomScaleNormal="100" workbookViewId="0">
      <selection activeCell="I41" sqref="I41"/>
    </sheetView>
  </sheetViews>
  <sheetFormatPr defaultRowHeight="15" customHeight="1"/>
  <cols>
    <col min="1" max="1" width="6.5" style="105" customWidth="1"/>
    <col min="2" max="2" width="2.1640625" style="105" customWidth="1"/>
    <col min="3" max="3" width="39.6640625" style="105" customWidth="1"/>
    <col min="4" max="4" width="17.83203125" style="105" bestFit="1" customWidth="1"/>
    <col min="5" max="5" width="17" style="105" bestFit="1" customWidth="1"/>
    <col min="6" max="6" width="18.5" style="105" customWidth="1"/>
    <col min="7" max="7" width="17" style="105" bestFit="1" customWidth="1"/>
    <col min="8" max="8" width="21.33203125" style="105" customWidth="1"/>
    <col min="9" max="9" width="15.5" style="105" bestFit="1" customWidth="1"/>
    <col min="10" max="10" width="14.83203125" style="105" bestFit="1" customWidth="1"/>
    <col min="11" max="11" width="24.5" style="105" customWidth="1"/>
    <col min="12" max="16384" width="9.33203125" style="105"/>
  </cols>
  <sheetData>
    <row r="1" spans="1:9" ht="15" customHeight="1" thickBot="1">
      <c r="A1" s="1244" t="s">
        <v>1284</v>
      </c>
      <c r="B1" s="1244"/>
      <c r="C1" s="1244"/>
      <c r="D1" s="1244"/>
      <c r="E1" s="1244"/>
      <c r="F1" s="1244"/>
      <c r="G1" s="1244"/>
      <c r="H1" s="1245"/>
    </row>
    <row r="2" spans="1:9" ht="15" customHeight="1" thickBot="1">
      <c r="A2" s="1244" t="s">
        <v>508</v>
      </c>
      <c r="B2" s="1244"/>
      <c r="C2" s="1244"/>
      <c r="D2" s="1244"/>
      <c r="E2" s="1244"/>
      <c r="F2" s="1244"/>
      <c r="G2" s="1244"/>
      <c r="H2" s="1483" t="s">
        <v>1491</v>
      </c>
      <c r="I2" s="1485"/>
    </row>
    <row r="3" spans="1:9" ht="15" customHeight="1">
      <c r="A3" s="17" t="s">
        <v>96</v>
      </c>
      <c r="B3" s="17"/>
      <c r="C3" s="17"/>
      <c r="D3" s="17"/>
      <c r="E3" s="17"/>
      <c r="F3" s="17"/>
      <c r="G3" s="17"/>
      <c r="H3" s="17"/>
    </row>
    <row r="4" spans="1:9" ht="15" customHeight="1">
      <c r="A4" s="1244" t="s">
        <v>509</v>
      </c>
      <c r="B4" s="1244"/>
      <c r="C4" s="1244"/>
      <c r="D4" s="1244"/>
      <c r="E4" s="1244"/>
      <c r="F4" s="1244"/>
      <c r="G4" s="1244"/>
      <c r="H4" s="1244"/>
    </row>
    <row r="5" spans="1:9" ht="15" customHeight="1">
      <c r="A5" s="105" t="s">
        <v>939</v>
      </c>
      <c r="D5" s="1209" t="s">
        <v>503</v>
      </c>
      <c r="E5" s="1209" t="s">
        <v>503</v>
      </c>
      <c r="F5" s="747"/>
      <c r="G5" s="747"/>
      <c r="H5" s="1209" t="s">
        <v>503</v>
      </c>
    </row>
    <row r="6" spans="1:9" ht="15" customHeight="1">
      <c r="A6" s="838"/>
      <c r="B6" s="847"/>
      <c r="C6" s="848"/>
      <c r="D6" s="1210">
        <v>40543</v>
      </c>
      <c r="E6" s="1211"/>
      <c r="F6" s="1210">
        <v>39813</v>
      </c>
      <c r="G6" s="1211"/>
      <c r="H6" s="1208"/>
    </row>
    <row r="7" spans="1:9" ht="15" customHeight="1">
      <c r="A7" s="839"/>
      <c r="B7" s="747"/>
      <c r="C7" s="840"/>
      <c r="D7" s="849" t="s">
        <v>510</v>
      </c>
      <c r="E7" s="758" t="s">
        <v>509</v>
      </c>
      <c r="F7" s="822" t="s">
        <v>510</v>
      </c>
      <c r="G7" s="758" t="s">
        <v>509</v>
      </c>
      <c r="H7" s="837" t="s">
        <v>939</v>
      </c>
    </row>
    <row r="8" spans="1:9" ht="15" customHeight="1">
      <c r="A8" s="841" t="s">
        <v>1153</v>
      </c>
      <c r="B8" s="747"/>
      <c r="C8" s="840"/>
      <c r="D8" s="758" t="s">
        <v>349</v>
      </c>
      <c r="E8" s="822" t="s">
        <v>511</v>
      </c>
      <c r="F8" s="758" t="s">
        <v>349</v>
      </c>
      <c r="G8" s="822" t="s">
        <v>511</v>
      </c>
      <c r="H8" s="837" t="s">
        <v>939</v>
      </c>
    </row>
    <row r="9" spans="1:9" ht="15" customHeight="1">
      <c r="A9" s="842" t="s">
        <v>1179</v>
      </c>
      <c r="B9" s="746"/>
      <c r="C9" s="843"/>
      <c r="D9" s="758" t="s">
        <v>350</v>
      </c>
      <c r="E9" s="1232">
        <f>'Production Factor'!F16</f>
        <v>21143300002.482922</v>
      </c>
      <c r="F9" s="823" t="s">
        <v>350</v>
      </c>
      <c r="G9" s="836">
        <v>21821673792</v>
      </c>
      <c r="H9" s="823" t="s">
        <v>512</v>
      </c>
    </row>
    <row r="10" spans="1:9" ht="15" customHeight="1">
      <c r="A10" s="839"/>
      <c r="D10" s="1208"/>
      <c r="E10" s="1208"/>
      <c r="F10" s="1208"/>
      <c r="G10" s="1208"/>
      <c r="H10" s="850"/>
    </row>
    <row r="11" spans="1:9" ht="15" customHeight="1">
      <c r="A11" s="839">
        <v>1</v>
      </c>
      <c r="C11" s="105" t="s">
        <v>513</v>
      </c>
      <c r="D11" s="837"/>
      <c r="E11" s="837"/>
      <c r="F11" s="837"/>
      <c r="G11" s="837"/>
      <c r="H11" s="845"/>
    </row>
    <row r="12" spans="1:9" ht="15" customHeight="1">
      <c r="A12" s="839">
        <f t="shared" ref="A12:A38" si="0">+A11+1</f>
        <v>2</v>
      </c>
      <c r="C12" s="105" t="s">
        <v>1069</v>
      </c>
      <c r="D12" s="1212">
        <f>'JHS-19'!AP17</f>
        <v>1977113536.8595588</v>
      </c>
      <c r="E12" s="1222">
        <f>+D12/E$9</f>
        <v>9.3510168073450237E-2</v>
      </c>
      <c r="F12" s="1218">
        <v>2034174915.1484807</v>
      </c>
      <c r="G12" s="1230">
        <f>+F12/G$9</f>
        <v>9.3218097499662256E-2</v>
      </c>
      <c r="H12" s="1196">
        <f>(G12-E12)*E$9</f>
        <v>-6175335.7634966038</v>
      </c>
      <c r="I12" s="736"/>
    </row>
    <row r="13" spans="1:9" ht="15" customHeight="1">
      <c r="A13" s="839">
        <f t="shared" si="0"/>
        <v>3</v>
      </c>
      <c r="C13" s="105" t="s">
        <v>1070</v>
      </c>
      <c r="D13" s="1213">
        <f>'JHS-19'!AP18</f>
        <v>1217747.52</v>
      </c>
      <c r="E13" s="1221">
        <f>+D13/E$9</f>
        <v>5.759496009880181E-5</v>
      </c>
      <c r="F13" s="1213">
        <v>353135.57</v>
      </c>
      <c r="G13" s="1221">
        <f>+F13/G$9</f>
        <v>1.6182790255505621E-5</v>
      </c>
      <c r="H13" s="845">
        <f>(G13-E13)*E$9</f>
        <v>-875589.93075058749</v>
      </c>
      <c r="I13" s="736"/>
    </row>
    <row r="14" spans="1:9" ht="15" customHeight="1">
      <c r="A14" s="839">
        <f t="shared" si="0"/>
        <v>4</v>
      </c>
      <c r="C14" s="105" t="s">
        <v>1071</v>
      </c>
      <c r="D14" s="1214">
        <f>'JHS-19'!AP19</f>
        <v>40163723.356444776</v>
      </c>
      <c r="E14" s="1223">
        <f>+D14/E$9</f>
        <v>1.8995957751026674E-3</v>
      </c>
      <c r="F14" s="1213">
        <v>29152007.953466386</v>
      </c>
      <c r="G14" s="1221">
        <f>+F14/G$9</f>
        <v>1.33591988549264E-3</v>
      </c>
      <c r="H14" s="1197">
        <f>(G14-E14)*E$9</f>
        <v>-11917968.438191256</v>
      </c>
      <c r="I14" s="736"/>
    </row>
    <row r="15" spans="1:9" ht="15" customHeight="1">
      <c r="A15" s="839">
        <f t="shared" si="0"/>
        <v>5</v>
      </c>
      <c r="C15" s="105" t="s">
        <v>1072</v>
      </c>
      <c r="D15" s="1215">
        <f>'JHS-19'!AP20</f>
        <v>39020207.61765977</v>
      </c>
      <c r="E15" s="1226">
        <f>+D15/E$9</f>
        <v>1.8455117040895939E-3</v>
      </c>
      <c r="F15" s="1215">
        <v>40410071.392675892</v>
      </c>
      <c r="G15" s="1226">
        <f>+F15/G$9</f>
        <v>1.8518318886927246E-3</v>
      </c>
      <c r="H15" s="846">
        <f>(G15-E15)*E$9</f>
        <v>133629.55913506632</v>
      </c>
      <c r="I15" s="736"/>
    </row>
    <row r="16" spans="1:9" ht="15" customHeight="1">
      <c r="A16" s="839">
        <f t="shared" si="0"/>
        <v>6</v>
      </c>
      <c r="C16" s="105" t="s">
        <v>1073</v>
      </c>
      <c r="D16" s="1212">
        <f>SUM(D12:D15)</f>
        <v>2057515215.3536634</v>
      </c>
      <c r="E16" s="1222">
        <f>+D16/E$9</f>
        <v>9.7312870512741304E-2</v>
      </c>
      <c r="F16" s="1218">
        <f>SUM(F12:F15)</f>
        <v>2104090130.0646229</v>
      </c>
      <c r="G16" s="1230">
        <f>+F16/G$9</f>
        <v>9.642203206410313E-2</v>
      </c>
      <c r="H16" s="1196">
        <f>SUM(H12:H15)</f>
        <v>-18835264.573303383</v>
      </c>
      <c r="I16" s="736"/>
    </row>
    <row r="17" spans="1:11" ht="15" customHeight="1">
      <c r="A17" s="839">
        <f t="shared" si="0"/>
        <v>7</v>
      </c>
      <c r="D17" s="837"/>
      <c r="E17" s="1221"/>
      <c r="F17" s="837"/>
      <c r="G17" s="1221"/>
      <c r="H17" s="845"/>
      <c r="I17" s="736"/>
    </row>
    <row r="18" spans="1:11" ht="15" customHeight="1">
      <c r="A18" s="839">
        <f t="shared" si="0"/>
        <v>8</v>
      </c>
      <c r="C18" s="105" t="s">
        <v>1074</v>
      </c>
      <c r="D18" s="837"/>
      <c r="E18" s="1221"/>
      <c r="F18" s="837"/>
      <c r="G18" s="1221"/>
      <c r="H18" s="845"/>
      <c r="I18" s="736"/>
    </row>
    <row r="19" spans="1:11" ht="15" customHeight="1">
      <c r="A19" s="839">
        <f t="shared" si="0"/>
        <v>9</v>
      </c>
      <c r="D19" s="837"/>
      <c r="E19" s="1221"/>
      <c r="F19" s="837"/>
      <c r="G19" s="1221"/>
      <c r="H19" s="845"/>
      <c r="I19" s="736"/>
    </row>
    <row r="20" spans="1:11" ht="15" customHeight="1">
      <c r="A20" s="839">
        <f t="shared" si="0"/>
        <v>10</v>
      </c>
      <c r="C20" s="105" t="s">
        <v>1075</v>
      </c>
      <c r="D20" s="837"/>
      <c r="E20" s="1221"/>
      <c r="F20" s="837"/>
      <c r="G20" s="1221"/>
      <c r="H20" s="845"/>
      <c r="I20" s="736"/>
    </row>
    <row r="21" spans="1:11" ht="15" customHeight="1">
      <c r="A21" s="839">
        <f t="shared" si="0"/>
        <v>11</v>
      </c>
      <c r="C21" s="105" t="s">
        <v>357</v>
      </c>
      <c r="D21" s="1212">
        <f>'JHS-19'!AP26</f>
        <v>268008058.70329931</v>
      </c>
      <c r="E21" s="1222">
        <f>+D21/E$9</f>
        <v>1.2675791322633001E-2</v>
      </c>
      <c r="F21" s="1218">
        <v>300188768.4008863</v>
      </c>
      <c r="G21" s="1230">
        <f>+F21/G$9</f>
        <v>1.3756450181696781E-2</v>
      </c>
      <c r="H21" s="1196">
        <f>(E21-G21)*E$9</f>
        <v>-22848694.457526416</v>
      </c>
      <c r="I21" s="736"/>
    </row>
    <row r="22" spans="1:11" ht="15" customHeight="1">
      <c r="A22" s="839">
        <f t="shared" si="0"/>
        <v>12</v>
      </c>
      <c r="C22" s="105" t="s">
        <v>866</v>
      </c>
      <c r="D22" s="1214">
        <f>'JHS-19'!AP27</f>
        <v>475048524.34460753</v>
      </c>
      <c r="E22" s="1223">
        <f>+D22/E$9</f>
        <v>2.2468040669565353E-2</v>
      </c>
      <c r="F22" s="1213">
        <v>630151588.84673417</v>
      </c>
      <c r="G22" s="1221">
        <f>+F22/G$9</f>
        <v>2.8877326040761951E-2</v>
      </c>
      <c r="H22" s="1197">
        <f>(E22-G22)*E$9</f>
        <v>-135513443.40473479</v>
      </c>
      <c r="I22" s="736"/>
    </row>
    <row r="23" spans="1:11" ht="15" customHeight="1">
      <c r="A23" s="839">
        <f t="shared" si="0"/>
        <v>13</v>
      </c>
      <c r="C23" s="105" t="s">
        <v>368</v>
      </c>
      <c r="D23" s="1214">
        <f>'JHS-19'!AP28</f>
        <v>90390612.456232741</v>
      </c>
      <c r="E23" s="1223">
        <f>+D23/E$9</f>
        <v>4.2751421228293552E-3</v>
      </c>
      <c r="F23" s="1213">
        <v>82203316.06772913</v>
      </c>
      <c r="G23" s="1221">
        <f>+F23/G$9</f>
        <v>3.7670490747536297E-3</v>
      </c>
      <c r="H23" s="1197">
        <f>(E23-G23)*E$9</f>
        <v>10742763.744641043</v>
      </c>
      <c r="I23" s="736"/>
    </row>
    <row r="24" spans="1:11" ht="15" customHeight="1">
      <c r="A24" s="839">
        <f t="shared" si="0"/>
        <v>14</v>
      </c>
      <c r="C24" s="105" t="s">
        <v>514</v>
      </c>
      <c r="D24" s="1216">
        <f>'JHS-19'!AP29</f>
        <v>0</v>
      </c>
      <c r="E24" s="1224">
        <f>+D24/E$9</f>
        <v>0</v>
      </c>
      <c r="F24" s="1215">
        <v>0</v>
      </c>
      <c r="G24" s="1226">
        <f>+F24/G$9</f>
        <v>0</v>
      </c>
      <c r="H24" s="1198">
        <f>(E24-G24)*E$9</f>
        <v>0</v>
      </c>
      <c r="I24" s="736"/>
      <c r="J24" s="736"/>
    </row>
    <row r="25" spans="1:11" ht="15" customHeight="1">
      <c r="A25" s="839">
        <f t="shared" si="0"/>
        <v>15</v>
      </c>
      <c r="C25" s="105" t="s">
        <v>1079</v>
      </c>
      <c r="D25" s="1212">
        <f>SUM(D21:D24)</f>
        <v>833447195.50413966</v>
      </c>
      <c r="E25" s="1222">
        <f>+D25/E$9</f>
        <v>3.9418974115027712E-2</v>
      </c>
      <c r="F25" s="1218">
        <f>SUM(F21:F24)</f>
        <v>1012543673.3153496</v>
      </c>
      <c r="G25" s="1230">
        <f>+F25/G$9</f>
        <v>4.6400825297212359E-2</v>
      </c>
      <c r="H25" s="1196">
        <f>SUM(H21:H24)</f>
        <v>-147619374.11762017</v>
      </c>
      <c r="I25" s="736"/>
      <c r="J25" s="736"/>
      <c r="K25" s="736"/>
    </row>
    <row r="26" spans="1:11" ht="15" customHeight="1">
      <c r="A26" s="839">
        <f t="shared" si="0"/>
        <v>16</v>
      </c>
      <c r="D26" s="837"/>
      <c r="E26" s="1221"/>
      <c r="F26" s="837"/>
      <c r="G26" s="1221"/>
      <c r="H26" s="845"/>
      <c r="I26" s="736"/>
    </row>
    <row r="27" spans="1:11" ht="15" customHeight="1">
      <c r="A27" s="839">
        <f t="shared" si="0"/>
        <v>17</v>
      </c>
      <c r="C27" s="105" t="s">
        <v>870</v>
      </c>
      <c r="D27" s="1212">
        <f>'JHS-19'!AP32</f>
        <v>124341933.36604214</v>
      </c>
      <c r="E27" s="1222">
        <f t="shared" ref="E27:E42" si="1">+D27/E$9</f>
        <v>5.8809142069327063E-3</v>
      </c>
      <c r="F27" s="1218">
        <v>107091100.11474323</v>
      </c>
      <c r="G27" s="1230">
        <f t="shared" ref="G27:G42" si="2">+F27/G$9</f>
        <v>4.9075566400412279E-3</v>
      </c>
      <c r="H27" s="1197">
        <f t="shared" ref="H27:H42" si="3">(E27-G27)*E$9</f>
        <v>20579991.046473365</v>
      </c>
      <c r="I27" s="736"/>
      <c r="J27" s="736"/>
    </row>
    <row r="28" spans="1:11" ht="15" customHeight="1">
      <c r="A28" s="839">
        <f t="shared" si="0"/>
        <v>18</v>
      </c>
      <c r="C28" s="105" t="s">
        <v>1080</v>
      </c>
      <c r="D28" s="1214">
        <f>'JHS-19'!AP33</f>
        <v>11947107.90183012</v>
      </c>
      <c r="E28" s="1223">
        <f t="shared" si="1"/>
        <v>5.6505407861720427E-4</v>
      </c>
      <c r="F28" s="1213">
        <v>8899925.2290000003</v>
      </c>
      <c r="G28" s="1221">
        <f t="shared" si="2"/>
        <v>4.0784796408526575E-4</v>
      </c>
      <c r="H28" s="1197">
        <f t="shared" si="3"/>
        <v>3323856.0417734664</v>
      </c>
      <c r="I28" s="736"/>
    </row>
    <row r="29" spans="1:11" ht="15" customHeight="1">
      <c r="A29" s="839">
        <f t="shared" si="0"/>
        <v>19</v>
      </c>
      <c r="C29" s="105" t="s">
        <v>1081</v>
      </c>
      <c r="D29" s="1214">
        <f>'JHS-19'!AP34</f>
        <v>81556923.93945241</v>
      </c>
      <c r="E29" s="1223">
        <f t="shared" si="1"/>
        <v>3.8573412821023651E-3</v>
      </c>
      <c r="F29" s="1213">
        <v>74958556.083333328</v>
      </c>
      <c r="G29" s="1221">
        <f t="shared" si="2"/>
        <v>3.4350507114084775E-3</v>
      </c>
      <c r="H29" s="1197">
        <f t="shared" si="3"/>
        <v>8928616.2244005892</v>
      </c>
      <c r="I29" s="736"/>
    </row>
    <row r="30" spans="1:11" ht="15" customHeight="1">
      <c r="A30" s="839">
        <f t="shared" si="0"/>
        <v>20</v>
      </c>
      <c r="C30" s="105" t="s">
        <v>515</v>
      </c>
      <c r="D30" s="1214">
        <f>'JHS-19'!AP35</f>
        <v>47476892.607986227</v>
      </c>
      <c r="E30" s="1223">
        <f t="shared" si="1"/>
        <v>2.2454816704303901E-3</v>
      </c>
      <c r="F30" s="1213">
        <v>41977338.782412529</v>
      </c>
      <c r="G30" s="1221">
        <f t="shared" si="2"/>
        <v>1.9236534824290956E-3</v>
      </c>
      <c r="H30" s="1197">
        <f t="shared" si="3"/>
        <v>6804509.9281668458</v>
      </c>
      <c r="I30" s="736"/>
    </row>
    <row r="31" spans="1:11" ht="15" customHeight="1">
      <c r="A31" s="839">
        <f t="shared" si="0"/>
        <v>21</v>
      </c>
      <c r="C31" s="105" t="s">
        <v>924</v>
      </c>
      <c r="D31" s="1214">
        <f>'JHS-19'!AP36</f>
        <v>1696753.5006435122</v>
      </c>
      <c r="E31" s="1223">
        <f t="shared" si="1"/>
        <v>8.0250173834938603E-5</v>
      </c>
      <c r="F31" s="1213">
        <v>2200804.9716699999</v>
      </c>
      <c r="G31" s="1221">
        <f t="shared" si="2"/>
        <v>1.0085408629272208E-4</v>
      </c>
      <c r="H31" s="1197">
        <f t="shared" si="3"/>
        <v>-435634.70231981127</v>
      </c>
      <c r="I31" s="736"/>
    </row>
    <row r="32" spans="1:11" ht="15" customHeight="1">
      <c r="A32" s="839">
        <f t="shared" si="0"/>
        <v>22</v>
      </c>
      <c r="C32" s="105" t="s">
        <v>930</v>
      </c>
      <c r="D32" s="1213">
        <f>'JHS-19'!AP37</f>
        <v>2589.4500000029802</v>
      </c>
      <c r="E32" s="1221">
        <f t="shared" si="1"/>
        <v>1.2247142119247673E-7</v>
      </c>
      <c r="F32" s="1213">
        <v>1062.359999999404</v>
      </c>
      <c r="G32" s="1221">
        <f t="shared" si="2"/>
        <v>4.8683708230890779E-8</v>
      </c>
      <c r="H32" s="845">
        <f t="shared" si="3"/>
        <v>1560.1157516439093</v>
      </c>
      <c r="I32" s="736"/>
    </row>
    <row r="33" spans="1:9" ht="15" customHeight="1">
      <c r="A33" s="839">
        <f t="shared" si="0"/>
        <v>23</v>
      </c>
      <c r="C33" s="105" t="s">
        <v>516</v>
      </c>
      <c r="D33" s="1213">
        <f>'JHS-19'!AP41</f>
        <v>16940732.541046035</v>
      </c>
      <c r="E33" s="1221">
        <f t="shared" si="1"/>
        <v>8.0123408072801472E-4</v>
      </c>
      <c r="F33" s="1213">
        <v>17897856.143835958</v>
      </c>
      <c r="G33" s="1221">
        <f t="shared" si="2"/>
        <v>8.2018713662548902E-4</v>
      </c>
      <c r="H33" s="845">
        <f t="shared" si="3"/>
        <v>-400730.14680412743</v>
      </c>
      <c r="I33" s="736"/>
    </row>
    <row r="34" spans="1:9" ht="15" customHeight="1">
      <c r="A34" s="839">
        <f t="shared" si="0"/>
        <v>24</v>
      </c>
      <c r="C34" s="105" t="s">
        <v>932</v>
      </c>
      <c r="D34" s="1214">
        <f>'JHS-19'!AP42</f>
        <v>8062262.3146535419</v>
      </c>
      <c r="E34" s="1223">
        <f t="shared" si="1"/>
        <v>3.813152305319778E-4</v>
      </c>
      <c r="F34" s="1213">
        <v>8190584.1173916264</v>
      </c>
      <c r="G34" s="1221">
        <f t="shared" si="2"/>
        <v>3.7534169905859189E-4</v>
      </c>
      <c r="H34" s="1197">
        <f t="shared" si="3"/>
        <v>126300.1680160721</v>
      </c>
      <c r="I34" s="736"/>
    </row>
    <row r="35" spans="1:9" ht="15" customHeight="1">
      <c r="A35" s="839">
        <f t="shared" si="0"/>
        <v>25</v>
      </c>
      <c r="C35" s="105" t="s">
        <v>282</v>
      </c>
      <c r="D35" s="1213">
        <f>'JHS-19'!AP43</f>
        <v>0</v>
      </c>
      <c r="E35" s="1221">
        <f t="shared" si="1"/>
        <v>0</v>
      </c>
      <c r="F35" s="1213">
        <v>0</v>
      </c>
      <c r="G35" s="1221">
        <f t="shared" si="2"/>
        <v>0</v>
      </c>
      <c r="H35" s="845">
        <f t="shared" si="3"/>
        <v>0</v>
      </c>
      <c r="I35" s="736"/>
    </row>
    <row r="36" spans="1:9" ht="15" customHeight="1">
      <c r="A36" s="839">
        <f t="shared" si="0"/>
        <v>26</v>
      </c>
      <c r="C36" s="105" t="s">
        <v>931</v>
      </c>
      <c r="D36" s="1216">
        <f>'JHS-19'!AP38</f>
        <v>99871159.71503602</v>
      </c>
      <c r="E36" s="1224">
        <f t="shared" si="1"/>
        <v>4.7235369929626804E-3</v>
      </c>
      <c r="F36" s="1215">
        <v>89781328.753680348</v>
      </c>
      <c r="G36" s="1226">
        <f t="shared" si="2"/>
        <v>4.1143190760460774E-3</v>
      </c>
      <c r="H36" s="1198">
        <f t="shared" si="3"/>
        <v>12880877.184255453</v>
      </c>
      <c r="I36" s="736"/>
    </row>
    <row r="37" spans="1:9" ht="15" customHeight="1">
      <c r="A37" s="839">
        <f t="shared" si="0"/>
        <v>27</v>
      </c>
      <c r="C37" s="105" t="s">
        <v>1032</v>
      </c>
      <c r="D37" s="1214">
        <f>SUM(D27:D36)</f>
        <v>391896355.33669001</v>
      </c>
      <c r="E37" s="1222">
        <f t="shared" si="1"/>
        <v>1.8535250187561469E-2</v>
      </c>
      <c r="F37" s="1213">
        <f>SUM(F27:F36)</f>
        <v>350998556.55606699</v>
      </c>
      <c r="G37" s="1230">
        <f t="shared" si="2"/>
        <v>1.6084859479695176E-2</v>
      </c>
      <c r="H37" s="1196">
        <f t="shared" si="3"/>
        <v>51809345.859713532</v>
      </c>
      <c r="I37" s="736"/>
    </row>
    <row r="38" spans="1:9" ht="15" customHeight="1">
      <c r="A38" s="839">
        <f t="shared" si="0"/>
        <v>28</v>
      </c>
      <c r="C38" s="105" t="s">
        <v>1283</v>
      </c>
      <c r="D38" s="1214">
        <f>'JHS-19'!AP39</f>
        <v>219723629.55742529</v>
      </c>
      <c r="E38" s="1223">
        <f t="shared" si="1"/>
        <v>1.0392116156495082E-2</v>
      </c>
      <c r="F38" s="1213">
        <v>175753601.70504731</v>
      </c>
      <c r="G38" s="1221">
        <f t="shared" si="2"/>
        <v>8.054084364943627E-3</v>
      </c>
      <c r="H38" s="1197">
        <f t="shared" si="3"/>
        <v>49433707.584115036</v>
      </c>
      <c r="I38" s="736"/>
    </row>
    <row r="39" spans="1:9" ht="15" customHeight="1">
      <c r="A39" s="839">
        <f>+A37+1</f>
        <v>28</v>
      </c>
      <c r="C39" s="105" t="s">
        <v>341</v>
      </c>
      <c r="D39" s="1213">
        <f>'JHS-19'!AP40</f>
        <v>39947888.383802913</v>
      </c>
      <c r="E39" s="1221">
        <f t="shared" si="1"/>
        <v>1.8893875780560136E-3</v>
      </c>
      <c r="F39" s="1213">
        <v>41715382.97415702</v>
      </c>
      <c r="G39" s="1221">
        <f t="shared" si="2"/>
        <v>1.9116490958383868E-3</v>
      </c>
      <c r="H39" s="845">
        <f t="shared" si="3"/>
        <v>-470681.94898332417</v>
      </c>
      <c r="I39" s="736"/>
    </row>
    <row r="40" spans="1:9" ht="15" customHeight="1">
      <c r="A40" s="839">
        <f t="shared" ref="A40:A49" si="4">+A39+1</f>
        <v>29</v>
      </c>
      <c r="C40" s="105" t="s">
        <v>517</v>
      </c>
      <c r="D40" s="1214">
        <f>'JHS-19'!AP44</f>
        <v>124214950.27313697</v>
      </c>
      <c r="E40" s="1223">
        <f t="shared" si="1"/>
        <v>5.8749083756343638E-3</v>
      </c>
      <c r="F40" s="1213">
        <v>122553986.85703042</v>
      </c>
      <c r="G40" s="1221">
        <f t="shared" si="2"/>
        <v>5.6161588714592411E-3</v>
      </c>
      <c r="H40" s="1197">
        <f t="shared" si="3"/>
        <v>5470818.3922683252</v>
      </c>
      <c r="I40" s="736"/>
    </row>
    <row r="41" spans="1:9" ht="15" customHeight="1">
      <c r="A41" s="839">
        <f t="shared" si="4"/>
        <v>30</v>
      </c>
      <c r="C41" s="105" t="s">
        <v>1041</v>
      </c>
      <c r="D41" s="1214">
        <f>'JHS-19'!AP45</f>
        <v>-59428579.975518629</v>
      </c>
      <c r="E41" s="1223">
        <f t="shared" si="1"/>
        <v>-2.8107523408616325E-3</v>
      </c>
      <c r="F41" s="1213">
        <v>47621990.141455255</v>
      </c>
      <c r="G41" s="1221">
        <f t="shared" si="2"/>
        <v>2.1823252696094217E-3</v>
      </c>
      <c r="H41" s="1197">
        <f t="shared" si="3"/>
        <v>-105570137.85387006</v>
      </c>
      <c r="I41" s="736"/>
    </row>
    <row r="42" spans="1:9" ht="15" customHeight="1">
      <c r="A42" s="839">
        <f t="shared" si="4"/>
        <v>31</v>
      </c>
      <c r="C42" s="105" t="s">
        <v>933</v>
      </c>
      <c r="D42" s="1213">
        <f>'JHS-19'!AP46</f>
        <v>168465833.31321561</v>
      </c>
      <c r="E42" s="1221">
        <f t="shared" si="1"/>
        <v>7.9678117083630349E-3</v>
      </c>
      <c r="F42" s="1213">
        <v>49297727.18164999</v>
      </c>
      <c r="G42" s="1221">
        <f t="shared" si="2"/>
        <v>2.2591175934324036E-3</v>
      </c>
      <c r="H42" s="845">
        <f t="shared" si="3"/>
        <v>120700632.29438706</v>
      </c>
      <c r="I42" s="736"/>
    </row>
    <row r="43" spans="1:9" ht="15" customHeight="1">
      <c r="A43" s="839">
        <f t="shared" si="4"/>
        <v>32</v>
      </c>
      <c r="C43" s="105" t="s">
        <v>934</v>
      </c>
      <c r="D43" s="1217">
        <f>SUM(D37:D42)+D25</f>
        <v>1718267272.3928919</v>
      </c>
      <c r="E43" s="1225">
        <f>SUM(E37:E42)+E25</f>
        <v>8.1267695780276039E-2</v>
      </c>
      <c r="F43" s="1227">
        <f>SUM(F37:F42)+F25</f>
        <v>1800484918.7307568</v>
      </c>
      <c r="G43" s="1231">
        <f>SUM(G37:G42)+G25</f>
        <v>8.2509019972190623E-2</v>
      </c>
      <c r="H43" s="1199">
        <f>SUM(H37:H42)+H25</f>
        <v>-26245689.789989606</v>
      </c>
      <c r="I43" s="736"/>
    </row>
    <row r="44" spans="1:9" ht="15" customHeight="1">
      <c r="A44" s="839">
        <f t="shared" si="4"/>
        <v>33</v>
      </c>
      <c r="D44" s="837" t="s">
        <v>939</v>
      </c>
      <c r="E44" s="1221"/>
      <c r="F44" s="837" t="s">
        <v>939</v>
      </c>
      <c r="G44" s="1221"/>
      <c r="H44" s="845"/>
      <c r="I44" s="736"/>
    </row>
    <row r="45" spans="1:9" ht="15" customHeight="1">
      <c r="A45" s="839">
        <f t="shared" si="4"/>
        <v>34</v>
      </c>
      <c r="C45" s="105" t="s">
        <v>935</v>
      </c>
      <c r="D45" s="1212">
        <f>D16-D43</f>
        <v>339247942.96077156</v>
      </c>
      <c r="E45" s="1222">
        <f>+D45/E$9</f>
        <v>1.6045174732465257E-2</v>
      </c>
      <c r="F45" s="1218">
        <v>303605211.33386612</v>
      </c>
      <c r="G45" s="1230">
        <f>+F45/G$9</f>
        <v>1.3913012091912501E-2</v>
      </c>
      <c r="H45" s="1197">
        <f>+H16+H43</f>
        <v>-45080954.363292992</v>
      </c>
      <c r="I45" s="736"/>
    </row>
    <row r="46" spans="1:9" ht="15" customHeight="1">
      <c r="A46" s="839">
        <f t="shared" si="4"/>
        <v>35</v>
      </c>
      <c r="D46" s="1218" t="s">
        <v>939</v>
      </c>
      <c r="E46" s="1221"/>
      <c r="F46" s="1218" t="s">
        <v>939</v>
      </c>
      <c r="G46" s="1221"/>
      <c r="H46" s="845"/>
      <c r="I46" s="736"/>
    </row>
    <row r="47" spans="1:9" ht="15" customHeight="1">
      <c r="A47" s="839">
        <f t="shared" si="4"/>
        <v>36</v>
      </c>
      <c r="C47" s="105" t="s">
        <v>365</v>
      </c>
      <c r="D47" s="1212">
        <f>'JHS-19'!AP51</f>
        <v>4853248427</v>
      </c>
      <c r="E47" s="1222">
        <f>+D47/E$9</f>
        <v>0.22954072573486961</v>
      </c>
      <c r="F47" s="1218">
        <v>3748212489</v>
      </c>
      <c r="G47" s="1230">
        <f>+F47/G$9</f>
        <v>0.17176558153729365</v>
      </c>
      <c r="H47" s="845"/>
      <c r="I47" s="736"/>
    </row>
    <row r="48" spans="1:9" ht="15" customHeight="1">
      <c r="A48" s="839">
        <f t="shared" si="4"/>
        <v>37</v>
      </c>
      <c r="C48" s="105" t="s">
        <v>937</v>
      </c>
      <c r="D48" s="1219">
        <f>'JHS-22'!H17</f>
        <v>7.8E-2</v>
      </c>
      <c r="E48" s="1223"/>
      <c r="F48" s="1228">
        <v>8.1000000000000003E-2</v>
      </c>
      <c r="G48" s="1221"/>
      <c r="H48" s="845" t="s">
        <v>939</v>
      </c>
      <c r="I48" s="736"/>
    </row>
    <row r="49" spans="1:9" ht="15" customHeight="1">
      <c r="A49" s="839">
        <f t="shared" si="4"/>
        <v>38</v>
      </c>
      <c r="C49" s="105" t="s">
        <v>518</v>
      </c>
      <c r="D49" s="1220">
        <f>D47*D48</f>
        <v>378553377.30599999</v>
      </c>
      <c r="E49" s="1222">
        <f>+D49/E$9</f>
        <v>1.7904176607319827E-2</v>
      </c>
      <c r="F49" s="1229">
        <f>F47*F48</f>
        <v>303605211.60900003</v>
      </c>
      <c r="G49" s="1230">
        <f>+F49/G$9</f>
        <v>1.3913012104520787E-2</v>
      </c>
      <c r="H49" s="1196">
        <f>(E49-G49)*E$9</f>
        <v>84386388.441940695</v>
      </c>
      <c r="I49" s="736"/>
    </row>
    <row r="50" spans="1:9" ht="15" customHeight="1">
      <c r="A50" s="844">
        <v>39</v>
      </c>
      <c r="B50" s="746"/>
      <c r="C50" s="746" t="s">
        <v>519</v>
      </c>
      <c r="D50" s="1220">
        <f>D49-D45+0.5</f>
        <v>39305434.845228434</v>
      </c>
      <c r="E50" s="1224"/>
      <c r="F50" s="1229">
        <f>F49-F45</f>
        <v>0.27513390779495239</v>
      </c>
      <c r="G50" s="1226"/>
      <c r="H50" s="1200">
        <f>+H45+H49+1</f>
        <v>39305435.078647703</v>
      </c>
      <c r="I50" s="736"/>
    </row>
    <row r="51" spans="1:9" ht="15" customHeight="1">
      <c r="H51" s="747" t="s">
        <v>520</v>
      </c>
    </row>
    <row r="52" spans="1:9" ht="15" customHeight="1">
      <c r="D52" s="736"/>
    </row>
    <row r="53" spans="1:9" ht="15" customHeight="1">
      <c r="D53" s="736"/>
      <c r="F53" s="736"/>
    </row>
  </sheetData>
  <mergeCells count="1">
    <mergeCell ref="H2:I2"/>
  </mergeCells>
  <phoneticPr fontId="17" type="noConversion"/>
  <printOptions horizontalCentered="1"/>
  <pageMargins left="0.5" right="0.5" top="1" bottom="0.75" header="0.5" footer="0"/>
  <pageSetup scale="75" orientation="portrait" r:id="rId1"/>
  <headerFooter alignWithMargins="0">
    <oddHeader>&amp;R&amp;"Helv,Bold"Exhibit No. ___(JHS-24)</oddHeader>
    <oddFooter>&amp;L&amp;"Times New Roman,Bold Italic"&amp;10Amounts presented in bold italic type have changed since the September 1, 2011 supplemental filing.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55"/>
  <sheetViews>
    <sheetView topLeftCell="A13" workbookViewId="0">
      <selection activeCell="E2" sqref="E2:F2"/>
    </sheetView>
  </sheetViews>
  <sheetFormatPr defaultColWidth="11.5" defaultRowHeight="10.5"/>
  <cols>
    <col min="1" max="1" width="5.83203125" bestFit="1" customWidth="1"/>
    <col min="2" max="2" width="13" customWidth="1"/>
    <col min="3" max="3" width="33.1640625" customWidth="1"/>
    <col min="4" max="4" width="2.6640625" customWidth="1"/>
    <col min="5" max="5" width="19.1640625" customWidth="1"/>
    <col min="6" max="6" width="21.33203125" customWidth="1"/>
    <col min="7" max="7" width="17.6640625" bestFit="1" customWidth="1"/>
    <col min="8" max="8" width="2.5" customWidth="1"/>
    <col min="9" max="9" width="16.33203125" customWidth="1"/>
    <col min="10" max="10" width="10.33203125" customWidth="1"/>
    <col min="11" max="11" width="13.5" customWidth="1"/>
    <col min="12" max="12" width="15.5" customWidth="1"/>
  </cols>
  <sheetData>
    <row r="1" spans="1:9" ht="13.5" thickBot="1">
      <c r="A1" s="851"/>
      <c r="B1" s="851"/>
      <c r="C1" s="851"/>
      <c r="D1" s="852"/>
      <c r="E1" s="851"/>
      <c r="F1" s="851"/>
      <c r="G1" s="387"/>
      <c r="H1" s="851"/>
      <c r="I1" s="1" t="str">
        <f>DocketNumber</f>
        <v>Docket Number UE-111048</v>
      </c>
    </row>
    <row r="2" spans="1:9" ht="16.5" thickBot="1">
      <c r="A2" s="851"/>
      <c r="B2" s="851"/>
      <c r="C2" s="851"/>
      <c r="D2" s="852"/>
      <c r="E2" s="1483" t="s">
        <v>1491</v>
      </c>
      <c r="F2" s="1485"/>
      <c r="G2" s="387"/>
      <c r="H2" s="851"/>
      <c r="I2" s="1" t="s">
        <v>1391</v>
      </c>
    </row>
    <row r="3" spans="1:9" ht="15.75">
      <c r="A3" s="851"/>
      <c r="B3" s="851"/>
      <c r="C3" s="851"/>
      <c r="D3" s="852"/>
      <c r="E3" s="851"/>
      <c r="F3" s="851"/>
      <c r="G3" s="387"/>
      <c r="H3" s="851"/>
      <c r="I3" s="1144" t="s">
        <v>1404</v>
      </c>
    </row>
    <row r="4" spans="1:9" ht="18.75">
      <c r="A4" s="867" t="s">
        <v>890</v>
      </c>
      <c r="B4" s="865"/>
      <c r="C4" s="865"/>
      <c r="D4" s="868"/>
      <c r="E4" s="865"/>
      <c r="F4" s="865"/>
      <c r="G4" s="348"/>
      <c r="H4" s="865"/>
      <c r="I4" s="865"/>
    </row>
    <row r="5" spans="1:9" ht="12.75">
      <c r="A5" s="865"/>
      <c r="B5" s="865"/>
      <c r="C5" s="865"/>
      <c r="D5" s="868"/>
      <c r="E5" s="865"/>
      <c r="F5" s="865"/>
      <c r="G5" s="865"/>
      <c r="H5" s="865"/>
      <c r="I5" s="865"/>
    </row>
    <row r="6" spans="1:9" ht="12.75">
      <c r="A6" s="869" t="s">
        <v>178</v>
      </c>
      <c r="B6" s="865" t="s">
        <v>939</v>
      </c>
      <c r="C6" s="865"/>
      <c r="D6" s="868"/>
      <c r="E6" s="869" t="s">
        <v>891</v>
      </c>
      <c r="F6" s="869" t="s">
        <v>892</v>
      </c>
      <c r="G6" s="869"/>
      <c r="H6" s="870"/>
      <c r="I6" s="869" t="s">
        <v>893</v>
      </c>
    </row>
    <row r="7" spans="1:9" ht="12.75">
      <c r="A7" s="869">
        <f>ROW()</f>
        <v>7</v>
      </c>
      <c r="B7" s="871"/>
      <c r="C7" s="865"/>
      <c r="D7" s="868"/>
      <c r="E7" s="872" t="s">
        <v>1087</v>
      </c>
      <c r="F7" s="873" t="s">
        <v>894</v>
      </c>
      <c r="G7" s="873" t="s">
        <v>895</v>
      </c>
      <c r="H7" s="874"/>
      <c r="I7" s="872" t="s">
        <v>584</v>
      </c>
    </row>
    <row r="8" spans="1:9" ht="12.75">
      <c r="A8" s="853">
        <f>ROW()</f>
        <v>8</v>
      </c>
      <c r="B8" s="854"/>
      <c r="C8" s="851"/>
      <c r="D8" s="852"/>
      <c r="E8" s="865"/>
      <c r="F8" s="865"/>
      <c r="G8" s="865"/>
      <c r="H8" s="865"/>
      <c r="I8" s="865"/>
    </row>
    <row r="9" spans="1:9" ht="12.75">
      <c r="A9" s="853">
        <v>6</v>
      </c>
      <c r="B9" s="858"/>
      <c r="C9" s="859" t="s">
        <v>896</v>
      </c>
      <c r="D9" s="855"/>
      <c r="E9" s="865"/>
      <c r="F9" s="865"/>
      <c r="G9" s="865"/>
      <c r="H9" s="868"/>
      <c r="I9" s="865"/>
    </row>
    <row r="10" spans="1:9" ht="12.75">
      <c r="A10" s="853">
        <v>7</v>
      </c>
      <c r="B10" s="858" t="s">
        <v>897</v>
      </c>
      <c r="C10" s="859" t="s">
        <v>898</v>
      </c>
      <c r="D10" s="855"/>
      <c r="E10" s="875">
        <v>10246.74</v>
      </c>
      <c r="F10" s="875">
        <v>0</v>
      </c>
      <c r="G10" s="876">
        <v>10246.74</v>
      </c>
      <c r="H10" s="877"/>
      <c r="I10" s="876">
        <v>0</v>
      </c>
    </row>
    <row r="11" spans="1:9" ht="12.75">
      <c r="A11" s="853">
        <v>8</v>
      </c>
      <c r="B11" s="858" t="s">
        <v>899</v>
      </c>
      <c r="C11" s="859" t="s">
        <v>152</v>
      </c>
      <c r="D11" s="855"/>
      <c r="E11" s="348">
        <v>685927</v>
      </c>
      <c r="F11" s="348">
        <v>-410851</v>
      </c>
      <c r="G11" s="878">
        <v>275076</v>
      </c>
      <c r="H11" s="879"/>
      <c r="I11" s="878">
        <v>13032.6</v>
      </c>
    </row>
    <row r="12" spans="1:9" ht="12.75">
      <c r="A12" s="853">
        <v>9</v>
      </c>
      <c r="B12" s="858" t="s">
        <v>900</v>
      </c>
      <c r="C12" s="859" t="s">
        <v>901</v>
      </c>
      <c r="D12" s="855"/>
      <c r="E12" s="348">
        <v>1231131</v>
      </c>
      <c r="F12" s="348">
        <v>-977385</v>
      </c>
      <c r="G12" s="878">
        <v>253746</v>
      </c>
      <c r="H12" s="879"/>
      <c r="I12" s="878">
        <v>25976.880000000001</v>
      </c>
    </row>
    <row r="13" spans="1:9" ht="12.75">
      <c r="A13" s="853">
        <v>10</v>
      </c>
      <c r="B13" s="858" t="s">
        <v>902</v>
      </c>
      <c r="C13" s="859" t="s">
        <v>903</v>
      </c>
      <c r="D13" s="855"/>
      <c r="E13" s="348">
        <v>14555900</v>
      </c>
      <c r="F13" s="348">
        <v>-9079746</v>
      </c>
      <c r="G13" s="878">
        <v>5476154</v>
      </c>
      <c r="H13" s="879"/>
      <c r="I13" s="878">
        <v>243073.52000000002</v>
      </c>
    </row>
    <row r="14" spans="1:9" ht="12.75">
      <c r="A14" s="853">
        <v>11</v>
      </c>
      <c r="B14" s="858" t="s">
        <v>904</v>
      </c>
      <c r="C14" s="859" t="s">
        <v>905</v>
      </c>
      <c r="D14" s="855"/>
      <c r="E14" s="348">
        <v>49007</v>
      </c>
      <c r="F14" s="348">
        <v>-48986</v>
      </c>
      <c r="G14" s="878">
        <v>21</v>
      </c>
      <c r="H14" s="879"/>
      <c r="I14" s="878">
        <v>1480.08</v>
      </c>
    </row>
    <row r="15" spans="1:9" ht="12.75">
      <c r="A15" s="853">
        <v>12</v>
      </c>
      <c r="B15" s="858" t="s">
        <v>906</v>
      </c>
      <c r="C15" s="859" t="s">
        <v>907</v>
      </c>
      <c r="D15" s="855"/>
      <c r="E15" s="348">
        <v>13158153</v>
      </c>
      <c r="F15" s="348">
        <v>-8931160</v>
      </c>
      <c r="G15" s="878">
        <v>4226993</v>
      </c>
      <c r="H15" s="879"/>
      <c r="I15" s="878">
        <v>277636.92</v>
      </c>
    </row>
    <row r="16" spans="1:9" ht="12.75">
      <c r="A16" s="853">
        <v>13</v>
      </c>
      <c r="B16" s="858" t="s">
        <v>908</v>
      </c>
      <c r="C16" s="859" t="s">
        <v>909</v>
      </c>
      <c r="D16" s="855"/>
      <c r="E16" s="348">
        <v>113968</v>
      </c>
      <c r="F16" s="348">
        <v>-67588</v>
      </c>
      <c r="G16" s="878">
        <v>46380</v>
      </c>
      <c r="H16" s="879"/>
      <c r="I16" s="878">
        <v>1629.72</v>
      </c>
    </row>
    <row r="17" spans="1:9" ht="12.75">
      <c r="A17" s="853">
        <v>14</v>
      </c>
      <c r="B17" s="858"/>
      <c r="C17" s="860"/>
      <c r="D17" s="256"/>
      <c r="E17" s="880">
        <f>SUM(E10:E16)</f>
        <v>29804332.740000002</v>
      </c>
      <c r="F17" s="880">
        <f>SUM(F10:F16)</f>
        <v>-19515716</v>
      </c>
      <c r="G17" s="880">
        <f>SUM(G10:G16)</f>
        <v>10288616.74</v>
      </c>
      <c r="H17" s="881"/>
      <c r="I17" s="880">
        <v>562829.72</v>
      </c>
    </row>
    <row r="18" spans="1:9" ht="12.75">
      <c r="A18" s="853">
        <v>15</v>
      </c>
      <c r="B18" s="858"/>
      <c r="C18" s="859"/>
      <c r="D18" s="855"/>
      <c r="E18" s="882"/>
      <c r="F18" s="882"/>
      <c r="G18" s="880"/>
      <c r="H18" s="881"/>
      <c r="I18" s="880"/>
    </row>
    <row r="19" spans="1:9" ht="12.75">
      <c r="A19" s="853">
        <v>16</v>
      </c>
      <c r="B19" s="858"/>
      <c r="C19" s="859" t="s">
        <v>910</v>
      </c>
      <c r="D19" s="855"/>
      <c r="E19" s="883"/>
      <c r="F19" s="883"/>
      <c r="G19" s="884"/>
      <c r="H19" s="881"/>
      <c r="I19" s="884"/>
    </row>
    <row r="20" spans="1:9" ht="12.75">
      <c r="A20" s="853">
        <v>17</v>
      </c>
      <c r="B20" s="858" t="s">
        <v>899</v>
      </c>
      <c r="C20" s="859" t="s">
        <v>152</v>
      </c>
      <c r="D20" s="855"/>
      <c r="E20" s="348">
        <v>1071124</v>
      </c>
      <c r="F20" s="348">
        <v>-629893</v>
      </c>
      <c r="G20" s="878">
        <v>441231</v>
      </c>
      <c r="H20" s="879"/>
      <c r="I20" s="348">
        <v>20351.400000000001</v>
      </c>
    </row>
    <row r="21" spans="1:9" ht="12.75">
      <c r="A21" s="853">
        <v>18</v>
      </c>
      <c r="B21" s="858" t="s">
        <v>911</v>
      </c>
      <c r="C21" s="859" t="s">
        <v>172</v>
      </c>
      <c r="D21" s="855"/>
      <c r="E21" s="348">
        <v>488761</v>
      </c>
      <c r="F21" s="348">
        <v>-289792</v>
      </c>
      <c r="G21" s="878">
        <v>198969</v>
      </c>
      <c r="H21" s="879"/>
      <c r="I21" s="348">
        <v>8308.92</v>
      </c>
    </row>
    <row r="22" spans="1:9" ht="12.75">
      <c r="A22" s="853">
        <v>19</v>
      </c>
      <c r="B22" s="858" t="s">
        <v>900</v>
      </c>
      <c r="C22" s="859" t="s">
        <v>901</v>
      </c>
      <c r="D22" s="855"/>
      <c r="E22" s="348">
        <v>19708485</v>
      </c>
      <c r="F22" s="348">
        <v>-11596586</v>
      </c>
      <c r="G22" s="878">
        <v>8111899</v>
      </c>
      <c r="H22" s="879"/>
      <c r="I22" s="348">
        <v>415074.29</v>
      </c>
    </row>
    <row r="23" spans="1:9" ht="12.75">
      <c r="A23" s="853">
        <v>20</v>
      </c>
      <c r="B23" s="858" t="s">
        <v>902</v>
      </c>
      <c r="C23" s="859" t="s">
        <v>903</v>
      </c>
      <c r="D23" s="855"/>
      <c r="E23" s="348">
        <v>20580759</v>
      </c>
      <c r="F23" s="348">
        <v>-12558757</v>
      </c>
      <c r="G23" s="878">
        <v>8022002</v>
      </c>
      <c r="H23" s="879"/>
      <c r="I23" s="348">
        <v>343687.59</v>
      </c>
    </row>
    <row r="24" spans="1:9" ht="12.75">
      <c r="A24" s="853">
        <v>21</v>
      </c>
      <c r="B24" s="858" t="s">
        <v>904</v>
      </c>
      <c r="C24" s="859" t="s">
        <v>905</v>
      </c>
      <c r="D24" s="855"/>
      <c r="E24" s="348">
        <v>88692</v>
      </c>
      <c r="F24" s="348">
        <v>-34278</v>
      </c>
      <c r="G24" s="878">
        <v>54414</v>
      </c>
      <c r="H24" s="879"/>
      <c r="I24" s="348">
        <v>2678.52</v>
      </c>
    </row>
    <row r="25" spans="1:9" ht="12.75">
      <c r="A25" s="853">
        <v>22</v>
      </c>
      <c r="B25" s="858" t="s">
        <v>906</v>
      </c>
      <c r="C25" s="859" t="s">
        <v>907</v>
      </c>
      <c r="D25" s="855"/>
      <c r="E25" s="348">
        <v>19991226</v>
      </c>
      <c r="F25" s="348">
        <v>-13315474</v>
      </c>
      <c r="G25" s="878">
        <v>6675752</v>
      </c>
      <c r="H25" s="879"/>
      <c r="I25" s="348">
        <v>421814.76</v>
      </c>
    </row>
    <row r="26" spans="1:9" ht="12.75">
      <c r="A26" s="853">
        <v>23</v>
      </c>
      <c r="B26" s="858" t="s">
        <v>908</v>
      </c>
      <c r="C26" s="859" t="s">
        <v>909</v>
      </c>
      <c r="D26" s="855"/>
      <c r="E26" s="348">
        <v>341015</v>
      </c>
      <c r="F26" s="348">
        <v>-199610</v>
      </c>
      <c r="G26" s="878">
        <v>141405</v>
      </c>
      <c r="H26" s="879"/>
      <c r="I26" s="348">
        <v>4876.5600000000004</v>
      </c>
    </row>
    <row r="27" spans="1:9" ht="12.75">
      <c r="A27" s="853">
        <v>24</v>
      </c>
      <c r="B27" s="858"/>
      <c r="C27" s="860"/>
      <c r="D27" s="256"/>
      <c r="E27" s="880">
        <f>SUM(E20:E26)</f>
        <v>62270062</v>
      </c>
      <c r="F27" s="880">
        <f>SUM(F20:F26)</f>
        <v>-38624390</v>
      </c>
      <c r="G27" s="880">
        <f>SUM(G20:G26)</f>
        <v>23645672</v>
      </c>
      <c r="H27" s="881"/>
      <c r="I27" s="880">
        <v>1216792.04</v>
      </c>
    </row>
    <row r="28" spans="1:9" ht="12.75">
      <c r="A28" s="853">
        <v>25</v>
      </c>
      <c r="B28" s="858"/>
      <c r="C28" s="861"/>
      <c r="D28" s="856"/>
      <c r="E28" s="882"/>
      <c r="F28" s="882"/>
      <c r="G28" s="880"/>
      <c r="H28" s="881"/>
      <c r="I28" s="880"/>
    </row>
    <row r="29" spans="1:9" ht="12.75">
      <c r="A29" s="853">
        <v>26</v>
      </c>
      <c r="B29" s="858"/>
      <c r="C29" s="859" t="s">
        <v>912</v>
      </c>
      <c r="D29" s="855"/>
      <c r="E29" s="883"/>
      <c r="F29" s="883"/>
      <c r="G29" s="884"/>
      <c r="H29" s="881"/>
      <c r="I29" s="884"/>
    </row>
    <row r="30" spans="1:9" ht="12.75">
      <c r="A30" s="853">
        <v>27</v>
      </c>
      <c r="B30" s="862" t="s">
        <v>897</v>
      </c>
      <c r="C30" s="863" t="s">
        <v>898</v>
      </c>
      <c r="D30" s="855"/>
      <c r="E30" s="348">
        <v>1769178.02</v>
      </c>
      <c r="F30" s="348">
        <v>0</v>
      </c>
      <c r="G30" s="878">
        <v>1769178.02</v>
      </c>
      <c r="H30" s="879"/>
      <c r="I30" s="878">
        <v>0</v>
      </c>
    </row>
    <row r="31" spans="1:9" ht="12.75">
      <c r="A31" s="853">
        <v>28</v>
      </c>
      <c r="B31" s="862" t="s">
        <v>911</v>
      </c>
      <c r="C31" s="863" t="s">
        <v>172</v>
      </c>
      <c r="D31" s="855"/>
      <c r="E31" s="348">
        <v>1276264</v>
      </c>
      <c r="F31" s="348">
        <v>-392280</v>
      </c>
      <c r="G31" s="878">
        <v>883984</v>
      </c>
      <c r="H31" s="879"/>
      <c r="I31" s="878">
        <v>21696.48</v>
      </c>
    </row>
    <row r="32" spans="1:9" ht="12.75">
      <c r="A32" s="853">
        <v>29</v>
      </c>
      <c r="B32" s="862" t="s">
        <v>900</v>
      </c>
      <c r="C32" s="863" t="s">
        <v>901</v>
      </c>
      <c r="D32" s="855"/>
      <c r="E32" s="348">
        <v>32769281</v>
      </c>
      <c r="F32" s="348">
        <v>-12112963</v>
      </c>
      <c r="G32" s="878">
        <v>20656318</v>
      </c>
      <c r="H32" s="879"/>
      <c r="I32" s="878">
        <v>691431.84</v>
      </c>
    </row>
    <row r="33" spans="1:9" ht="12.75">
      <c r="A33" s="853">
        <v>30</v>
      </c>
      <c r="B33" s="862" t="s">
        <v>902</v>
      </c>
      <c r="C33" s="863" t="s">
        <v>903</v>
      </c>
      <c r="D33" s="855"/>
      <c r="E33" s="348">
        <v>22781417</v>
      </c>
      <c r="F33" s="348">
        <v>-7135115</v>
      </c>
      <c r="G33" s="878">
        <v>15646302</v>
      </c>
      <c r="H33" s="879"/>
      <c r="I33" s="878">
        <v>380449.56</v>
      </c>
    </row>
    <row r="34" spans="1:9" ht="12.75">
      <c r="A34" s="853">
        <v>31</v>
      </c>
      <c r="B34" s="862" t="s">
        <v>904</v>
      </c>
      <c r="C34" s="863" t="s">
        <v>905</v>
      </c>
      <c r="D34" s="855"/>
      <c r="E34" s="348">
        <v>204200</v>
      </c>
      <c r="F34" s="348">
        <v>-70037</v>
      </c>
      <c r="G34" s="878">
        <v>134163</v>
      </c>
      <c r="H34" s="879"/>
      <c r="I34" s="878">
        <v>6166.92</v>
      </c>
    </row>
    <row r="35" spans="1:9" ht="12.75">
      <c r="A35" s="853">
        <v>32</v>
      </c>
      <c r="B35" s="862" t="s">
        <v>906</v>
      </c>
      <c r="C35" s="863" t="s">
        <v>907</v>
      </c>
      <c r="D35" s="855"/>
      <c r="E35" s="348">
        <v>23498389</v>
      </c>
      <c r="F35" s="348">
        <v>-9910549</v>
      </c>
      <c r="G35" s="878">
        <v>13587840</v>
      </c>
      <c r="H35" s="879"/>
      <c r="I35" s="878">
        <v>495816</v>
      </c>
    </row>
    <row r="36" spans="1:9" ht="12.75">
      <c r="A36" s="853">
        <v>33</v>
      </c>
      <c r="B36" s="862" t="s">
        <v>908</v>
      </c>
      <c r="C36" s="863" t="s">
        <v>909</v>
      </c>
      <c r="D36" s="855"/>
      <c r="E36" s="348">
        <v>59215</v>
      </c>
      <c r="F36" s="348">
        <v>-10155</v>
      </c>
      <c r="G36" s="878">
        <v>49060</v>
      </c>
      <c r="H36" s="879"/>
      <c r="I36" s="878">
        <v>846.72</v>
      </c>
    </row>
    <row r="37" spans="1:9" ht="12.75">
      <c r="A37" s="853">
        <v>35</v>
      </c>
      <c r="B37" s="858"/>
      <c r="C37" s="860"/>
      <c r="D37" s="256"/>
      <c r="E37" s="880">
        <f>SUM(E30:E36)</f>
        <v>82357944.020000011</v>
      </c>
      <c r="F37" s="880">
        <f>SUM(F30:F36)</f>
        <v>-29631099</v>
      </c>
      <c r="G37" s="880">
        <f>SUM(G30:G36)</f>
        <v>52726845.019999996</v>
      </c>
      <c r="H37" s="881"/>
      <c r="I37" s="880">
        <v>1596407.5199999998</v>
      </c>
    </row>
    <row r="38" spans="1:9" ht="12.75">
      <c r="A38" s="853">
        <v>36</v>
      </c>
      <c r="B38" s="858"/>
      <c r="C38" s="861"/>
      <c r="D38" s="856"/>
      <c r="E38" s="882"/>
      <c r="F38" s="882"/>
      <c r="G38" s="880"/>
      <c r="H38" s="881"/>
      <c r="I38" s="880"/>
    </row>
    <row r="39" spans="1:9" ht="12.75">
      <c r="A39" s="853">
        <v>37</v>
      </c>
      <c r="B39" s="858"/>
      <c r="C39" s="859" t="s">
        <v>913</v>
      </c>
      <c r="D39" s="855"/>
      <c r="E39" s="883"/>
      <c r="F39" s="883"/>
      <c r="G39" s="884"/>
      <c r="H39" s="881"/>
      <c r="I39" s="884"/>
    </row>
    <row r="40" spans="1:9" ht="12.75">
      <c r="A40" s="853">
        <v>38</v>
      </c>
      <c r="B40" s="862" t="s">
        <v>897</v>
      </c>
      <c r="C40" s="863" t="s">
        <v>898</v>
      </c>
      <c r="D40" s="855"/>
      <c r="E40" s="348">
        <v>30604.26</v>
      </c>
      <c r="F40" s="348">
        <v>0</v>
      </c>
      <c r="G40" s="878">
        <v>30604.26</v>
      </c>
      <c r="H40" s="879"/>
      <c r="I40" s="878"/>
    </row>
    <row r="41" spans="1:9" ht="12.75">
      <c r="A41" s="853">
        <v>39</v>
      </c>
      <c r="B41" s="862" t="s">
        <v>902</v>
      </c>
      <c r="C41" s="863" t="s">
        <v>903</v>
      </c>
      <c r="D41" s="855"/>
      <c r="E41" s="348">
        <v>4786748</v>
      </c>
      <c r="F41" s="348">
        <v>-1234196</v>
      </c>
      <c r="G41" s="878">
        <v>3552552</v>
      </c>
      <c r="H41" s="879">
        <v>95926.44</v>
      </c>
      <c r="I41" s="878">
        <v>95926.44</v>
      </c>
    </row>
    <row r="42" spans="1:9" ht="12.75">
      <c r="A42" s="853">
        <v>40</v>
      </c>
      <c r="B42" s="862" t="s">
        <v>904</v>
      </c>
      <c r="C42" s="863" t="s">
        <v>905</v>
      </c>
      <c r="D42" s="855"/>
      <c r="E42" s="348">
        <v>3412478</v>
      </c>
      <c r="F42" s="348">
        <v>-1257397</v>
      </c>
      <c r="G42" s="878">
        <v>2155081</v>
      </c>
      <c r="H42" s="879">
        <v>104589.66</v>
      </c>
      <c r="I42" s="878">
        <v>104589.66</v>
      </c>
    </row>
    <row r="43" spans="1:9" ht="12.75">
      <c r="A43" s="853">
        <v>41</v>
      </c>
      <c r="B43" s="862" t="s">
        <v>906</v>
      </c>
      <c r="C43" s="863" t="s">
        <v>907</v>
      </c>
      <c r="D43" s="855"/>
      <c r="E43" s="348">
        <v>11363534</v>
      </c>
      <c r="F43" s="348">
        <v>-3874637</v>
      </c>
      <c r="G43" s="878">
        <v>7488897</v>
      </c>
      <c r="H43" s="879">
        <v>266953.59000000003</v>
      </c>
      <c r="I43" s="878">
        <v>266953.59000000003</v>
      </c>
    </row>
    <row r="44" spans="1:9" ht="12.75">
      <c r="A44" s="853">
        <v>44</v>
      </c>
      <c r="B44" s="858"/>
      <c r="C44" s="860"/>
      <c r="D44" s="256"/>
      <c r="E44" s="880">
        <f>SUM(E40:E43)</f>
        <v>19593364.259999998</v>
      </c>
      <c r="F44" s="880">
        <f>SUM(F40:F43)</f>
        <v>-6366230</v>
      </c>
      <c r="G44" s="880">
        <f>SUM(G40:G43)</f>
        <v>13227134.26</v>
      </c>
      <c r="H44" s="881"/>
      <c r="I44" s="880">
        <v>467469.69000000006</v>
      </c>
    </row>
    <row r="45" spans="1:9" ht="12.75">
      <c r="A45" s="853">
        <v>45</v>
      </c>
      <c r="B45" s="858"/>
      <c r="C45" s="864"/>
      <c r="D45" s="857"/>
      <c r="E45" s="880"/>
      <c r="F45" s="880"/>
      <c r="G45" s="880"/>
      <c r="H45" s="881"/>
      <c r="I45" s="880"/>
    </row>
    <row r="46" spans="1:9" ht="12.75">
      <c r="A46" s="853">
        <v>46</v>
      </c>
      <c r="B46" s="858"/>
      <c r="C46" s="861"/>
      <c r="D46" s="856"/>
      <c r="E46" s="884"/>
      <c r="F46" s="884"/>
      <c r="G46" s="884"/>
      <c r="H46" s="881"/>
      <c r="I46" s="884"/>
    </row>
    <row r="47" spans="1:9" ht="13.5" thickBot="1">
      <c r="A47" s="853">
        <v>47</v>
      </c>
      <c r="B47" s="859" t="s">
        <v>914</v>
      </c>
      <c r="C47" s="860"/>
      <c r="D47" s="256"/>
      <c r="E47" s="885">
        <f>E17+E27+E37+E44</f>
        <v>194025703.02000001</v>
      </c>
      <c r="F47" s="885">
        <f>F17+F27+F37+F44</f>
        <v>-94137435</v>
      </c>
      <c r="G47" s="885">
        <f>G17+G27+G37+G44</f>
        <v>99888268.019999996</v>
      </c>
      <c r="H47" s="877"/>
      <c r="I47" s="885">
        <f>I17+I27+I37+I44</f>
        <v>3843498.9699999997</v>
      </c>
    </row>
    <row r="48" spans="1:9" ht="13.5" thickTop="1">
      <c r="A48" s="853">
        <v>48</v>
      </c>
      <c r="B48" s="865" t="s">
        <v>915</v>
      </c>
      <c r="C48" s="860"/>
      <c r="D48" s="256"/>
      <c r="E48" s="881">
        <f>F47</f>
        <v>-94137435</v>
      </c>
      <c r="F48" s="881"/>
      <c r="G48" s="881"/>
      <c r="H48" s="881"/>
      <c r="I48" s="881"/>
    </row>
    <row r="49" spans="1:9" ht="12.75">
      <c r="A49" s="853">
        <v>49</v>
      </c>
      <c r="B49" s="865" t="s">
        <v>916</v>
      </c>
      <c r="C49" s="860"/>
      <c r="D49" s="256"/>
      <c r="E49" s="881">
        <v>-8651536.4999999888</v>
      </c>
      <c r="F49" s="368"/>
      <c r="G49" s="860"/>
      <c r="H49" s="886"/>
      <c r="I49" s="860"/>
    </row>
    <row r="50" spans="1:9" ht="12.75">
      <c r="A50" s="853">
        <v>50</v>
      </c>
      <c r="B50" s="865" t="s">
        <v>917</v>
      </c>
      <c r="C50" s="860"/>
      <c r="D50" s="256"/>
      <c r="E50" s="865"/>
      <c r="F50" s="868"/>
      <c r="G50" s="868"/>
      <c r="H50" s="868"/>
      <c r="I50" s="868"/>
    </row>
    <row r="51" spans="1:9" ht="12.75">
      <c r="A51" s="853">
        <v>51</v>
      </c>
      <c r="B51" s="866" t="s">
        <v>918</v>
      </c>
      <c r="C51" s="860"/>
      <c r="D51" s="256"/>
      <c r="E51" s="881">
        <v>2980141.1700000376</v>
      </c>
      <c r="F51" s="881"/>
      <c r="G51" s="881"/>
      <c r="H51" s="881"/>
      <c r="I51" s="881">
        <v>213630.15</v>
      </c>
    </row>
    <row r="52" spans="1:9" ht="12.75">
      <c r="A52" s="853">
        <v>52</v>
      </c>
      <c r="B52" s="866" t="s">
        <v>919</v>
      </c>
      <c r="C52" s="860"/>
      <c r="D52" s="256"/>
      <c r="E52" s="887">
        <v>482355.1495</v>
      </c>
      <c r="F52" s="881"/>
      <c r="G52" s="887"/>
      <c r="H52" s="881"/>
      <c r="I52" s="881">
        <v>34492.794000000002</v>
      </c>
    </row>
    <row r="53" spans="1:9" ht="12.75">
      <c r="A53" s="853">
        <v>53</v>
      </c>
      <c r="B53" s="865"/>
      <c r="C53" s="860"/>
      <c r="D53" s="256"/>
      <c r="E53" s="880"/>
      <c r="F53" s="881"/>
      <c r="G53" s="881"/>
      <c r="H53" s="881"/>
      <c r="I53" s="880"/>
    </row>
    <row r="54" spans="1:9" ht="13.5" thickBot="1">
      <c r="A54" s="853">
        <v>54</v>
      </c>
      <c r="B54" s="865" t="s">
        <v>920</v>
      </c>
      <c r="C54" s="256"/>
      <c r="D54" s="256"/>
      <c r="E54" s="885">
        <f>SUM(E47:E53)</f>
        <v>94699227.839500055</v>
      </c>
      <c r="F54" s="877"/>
      <c r="G54" s="877"/>
      <c r="H54" s="877"/>
      <c r="I54" s="885">
        <f>SUM(I47:I53)</f>
        <v>4091621.9139999999</v>
      </c>
    </row>
    <row r="55" spans="1:9" ht="11.25" thickTop="1"/>
  </sheetData>
  <mergeCells count="1">
    <mergeCell ref="E2:F2"/>
  </mergeCells>
  <phoneticPr fontId="0" type="noConversion"/>
  <printOptions horizontalCentered="1"/>
  <pageMargins left="0.5" right="0.5" top="0.75" bottom="0.25" header="0.32" footer="0.27"/>
  <pageSetup scale="92" orientation="portrait" verticalDpi="300" r:id="rId1"/>
  <headerFooter alignWithMargins="0">
    <oddFooter>&amp;L&amp;"Helv,Bold Italic"&amp;10Amounts presented in bold italic type have changed since the September 1, 2011 supplemental filing.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9AF1C-7615-4E9C-874C-B649BEC80261}"/>
</file>

<file path=customXml/itemProps2.xml><?xml version="1.0" encoding="utf-8"?>
<ds:datastoreItem xmlns:ds="http://schemas.openxmlformats.org/officeDocument/2006/customXml" ds:itemID="{3372FB76-E129-4BD0-9513-E093B6151B27}"/>
</file>

<file path=customXml/itemProps3.xml><?xml version="1.0" encoding="utf-8"?>
<ds:datastoreItem xmlns:ds="http://schemas.openxmlformats.org/officeDocument/2006/customXml" ds:itemID="{89C4F098-75C9-4E8C-B455-D482015738CF}"/>
</file>

<file path=customXml/itemProps4.xml><?xml version="1.0" encoding="utf-8"?>
<ds:datastoreItem xmlns:ds="http://schemas.openxmlformats.org/officeDocument/2006/customXml" ds:itemID="{89C78023-97C6-4C00-821E-2ECF5E9D9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66</vt:i4>
      </vt:variant>
    </vt:vector>
  </HeadingPairs>
  <TitlesOfParts>
    <vt:vector size="92" baseType="lpstr">
      <vt:lpstr>JHS-25 Ex A-1</vt:lpstr>
      <vt:lpstr>JHS-19</vt:lpstr>
      <vt:lpstr>JHS-20</vt:lpstr>
      <vt:lpstr>JHS-20.01(A)</vt:lpstr>
      <vt:lpstr>JHS-21</vt:lpstr>
      <vt:lpstr>JHS-22</vt:lpstr>
      <vt:lpstr>JHS-23</vt:lpstr>
      <vt:lpstr>JHS-24 Unit Cost</vt:lpstr>
      <vt:lpstr>JHS-25 Ex A-2</vt:lpstr>
      <vt:lpstr>JHS-25 Ex A-3</vt:lpstr>
      <vt:lpstr>JHS-25 Ex A-4</vt:lpstr>
      <vt:lpstr>JHS-25 Ex A-5</vt:lpstr>
      <vt:lpstr>RATE SPREAD</vt:lpstr>
      <vt:lpstr>SPEC CONT + FIRM RESALE INC</vt:lpstr>
      <vt:lpstr>DEM RY PC</vt:lpstr>
      <vt:lpstr>LSR Power Costs</vt:lpstr>
      <vt:lpstr>Restated TY</vt:lpstr>
      <vt:lpstr>09-10</vt:lpstr>
      <vt:lpstr>557</vt:lpstr>
      <vt:lpstr>Production Adjustment</vt:lpstr>
      <vt:lpstr>Production Factor</vt:lpstr>
      <vt:lpstr>Production Plant Premiums</vt:lpstr>
      <vt:lpstr>Prod Plant</vt:lpstr>
      <vt:lpstr>ProdO&amp;M</vt:lpstr>
      <vt:lpstr>EB&amp;Taxes</vt:lpstr>
      <vt:lpstr>TransmRev</vt:lpstr>
      <vt:lpstr>_19.01</vt:lpstr>
      <vt:lpstr>_19.02</vt:lpstr>
      <vt:lpstr>_19.03</vt:lpstr>
      <vt:lpstr>_19.04</vt:lpstr>
      <vt:lpstr>_19.05</vt:lpstr>
      <vt:lpstr>_20.01_Power_Costs</vt:lpstr>
      <vt:lpstr>_20.02_LSR_project</vt:lpstr>
      <vt:lpstr>_20.03_LSR_transmission_deposits</vt:lpstr>
      <vt:lpstr>_20.04_Montana</vt:lpstr>
      <vt:lpstr>_20.05_Wild_Horse</vt:lpstr>
      <vt:lpstr>_20.06_ASC_815</vt:lpstr>
      <vt:lpstr>_20.07_storm</vt:lpstr>
      <vt:lpstr>_20.08_remove_tenaska_costs</vt:lpstr>
      <vt:lpstr>_20.09_conrtact_payments_chelan</vt:lpstr>
      <vt:lpstr>_20.10_Reg_Asset</vt:lpstr>
      <vt:lpstr>_20.11_Prod_Adj</vt:lpstr>
      <vt:lpstr>_20.12_LSR_Deferral</vt:lpstr>
      <vt:lpstr>_21.01_Temp_Norm</vt:lpstr>
      <vt:lpstr>_21.02_Revenues_Expenses</vt:lpstr>
      <vt:lpstr>_21.03_Pass_through_Rev_Exp</vt:lpstr>
      <vt:lpstr>_21.04_Federal_Income_Tax</vt:lpstr>
      <vt:lpstr>_21.05_Tax_Benefit_Interest</vt:lpstr>
      <vt:lpstr>_21.06_Miscellaneous_Op_Exp</vt:lpstr>
      <vt:lpstr>_21.07_General_Plant_Depreciation</vt:lpstr>
      <vt:lpstr>_21.08_Norm_Injuries_Damages</vt:lpstr>
      <vt:lpstr>_21.09_Bad_Debts</vt:lpstr>
      <vt:lpstr>_21.10_Incentive_Pay</vt:lpstr>
      <vt:lpstr>_21.11_Property_Taxes</vt:lpstr>
      <vt:lpstr>_21.12_Excise_Tax_Filing_Fee</vt:lpstr>
      <vt:lpstr>_21.13_Directors_Officers_Insurance</vt:lpstr>
      <vt:lpstr>_21.14_Int_Customer_Deposits</vt:lpstr>
      <vt:lpstr>_21.15_Rate_Case_Expenses</vt:lpstr>
      <vt:lpstr>_21.16_Defferred_Gains_Losses</vt:lpstr>
      <vt:lpstr>_21.17_Property_Liability_Insurance</vt:lpstr>
      <vt:lpstr>_21.18_Pension_Plan</vt:lpstr>
      <vt:lpstr>_21.19_Wage_Increase</vt:lpstr>
      <vt:lpstr>_21.20_Investment_Plan</vt:lpstr>
      <vt:lpstr>_21.21_Employee_Insurance</vt:lpstr>
      <vt:lpstr>_21.22_WC</vt:lpstr>
      <vt:lpstr>'JHS-22'!_22.01</vt:lpstr>
      <vt:lpstr>'JHS-22'!_22.02</vt:lpstr>
      <vt:lpstr>_22.03</vt:lpstr>
      <vt:lpstr>DocketNumber</vt:lpstr>
      <vt:lpstr>Exhibit_No.______JHS_06</vt:lpstr>
      <vt:lpstr>Exhibit_No.______JHS_09</vt:lpstr>
      <vt:lpstr>Exhibit_No.______JHS_4</vt:lpstr>
      <vt:lpstr>Exhibit_No._____JHS_05</vt:lpstr>
      <vt:lpstr>Exhibit_No._____JHS_07</vt:lpstr>
      <vt:lpstr>FIT</vt:lpstr>
      <vt:lpstr>'DEM RY PC'!Print_Area</vt:lpstr>
      <vt:lpstr>'JHS-19'!Print_Area</vt:lpstr>
      <vt:lpstr>'JHS-20'!Print_Area</vt:lpstr>
      <vt:lpstr>'JHS-20.01(A)'!Print_Area</vt:lpstr>
      <vt:lpstr>'JHS-21'!Print_Area</vt:lpstr>
      <vt:lpstr>'JHS-22'!Print_Area</vt:lpstr>
      <vt:lpstr>'JHS-23'!Print_Area</vt:lpstr>
      <vt:lpstr>'JHS-25 Ex A-1'!Print_Area</vt:lpstr>
      <vt:lpstr>'JHS-25 Ex A-4'!Print_Area</vt:lpstr>
      <vt:lpstr>'ProdO&amp;M'!Print_Area</vt:lpstr>
      <vt:lpstr>'RATE SPREAD'!Print_Area</vt:lpstr>
      <vt:lpstr>'SPEC CONT + FIRM RESALE INC'!Print_Area</vt:lpstr>
      <vt:lpstr>'JHS-19'!Print_Titles</vt:lpstr>
      <vt:lpstr>'JHS-20'!Print_Titles</vt:lpstr>
      <vt:lpstr>Summary</vt:lpstr>
      <vt:lpstr>TESTYEAR</vt:lpstr>
      <vt:lpstr>TESTYEAR1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PACCAR.com Job Description</dc:title>
  <dc:subject>TWELVE MOS. ENDED 6/30/95</dc:subject>
  <dc:creator>Janna D. Greif</dc:creator>
  <cp:lastModifiedBy>sfree</cp:lastModifiedBy>
  <cp:lastPrinted>2012-05-15T04:02:54Z</cp:lastPrinted>
  <dcterms:created xsi:type="dcterms:W3CDTF">1997-10-13T22:59:17Z</dcterms:created>
  <dcterms:modified xsi:type="dcterms:W3CDTF">2012-05-15T04:07:26Z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