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Comp_Bens/Workpapers/"/>
    </mc:Choice>
  </mc:AlternateContent>
  <xr:revisionPtr revIDLastSave="0" documentId="13_ncr:1_{F952AA4F-E8CE-4047-B0FF-8F87637C7C24}" xr6:coauthVersionLast="36" xr6:coauthVersionMax="36" xr10:uidLastSave="{00000000-0000-0000-0000-000000000000}"/>
  <bookViews>
    <workbookView xWindow="0" yWindow="0" windowWidth="28800" windowHeight="9090" xr2:uid="{3B9B4E28-8A5C-4D84-B0DE-C5B5437C2660}"/>
  </bookViews>
  <sheets>
    <sheet name="Sheet1" sheetId="1" r:id="rId1"/>
    <sheet name="Sheet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25" i="1"/>
  <c r="G16" i="2" l="1"/>
  <c r="F19" i="2"/>
  <c r="F18" i="2"/>
  <c r="F6" i="2" l="1"/>
  <c r="F7" i="2"/>
  <c r="F5" i="2"/>
  <c r="F11" i="2" l="1"/>
  <c r="O24" i="1"/>
  <c r="O23" i="1"/>
  <c r="G13" i="1"/>
  <c r="G11" i="1"/>
  <c r="J28" i="1"/>
  <c r="J24" i="1"/>
  <c r="C14" i="2"/>
  <c r="D14" i="2"/>
  <c r="D16" i="2" s="1"/>
  <c r="E14" i="2"/>
  <c r="C15" i="2"/>
  <c r="D15" i="2"/>
  <c r="E15" i="2"/>
  <c r="E16" i="2" l="1"/>
  <c r="F14" i="2"/>
  <c r="F15" i="2"/>
  <c r="H15" i="2" s="1"/>
  <c r="C16" i="2"/>
  <c r="C11" i="2"/>
  <c r="D11" i="2"/>
  <c r="E11" i="2"/>
  <c r="H14" i="2" l="1"/>
  <c r="H16" i="2" s="1"/>
  <c r="F16" i="2"/>
  <c r="H11" i="1"/>
  <c r="J11" i="1" s="1"/>
  <c r="J13" i="1"/>
  <c r="I11" i="1"/>
  <c r="H13" i="1"/>
  <c r="D22" i="1" l="1"/>
  <c r="C22" i="1"/>
  <c r="F22" i="1" l="1"/>
  <c r="G22" i="1"/>
  <c r="H22" i="1"/>
  <c r="E22" i="1"/>
  <c r="J20" i="1"/>
  <c r="J18" i="1"/>
  <c r="E23" i="2" l="1"/>
  <c r="E24" i="2"/>
  <c r="E27" i="2" l="1"/>
  <c r="E26" i="2"/>
  <c r="S17" i="1"/>
  <c r="E28" i="2" l="1"/>
  <c r="O28" i="1"/>
  <c r="P23" i="1" l="1"/>
  <c r="Q23" i="1" s="1"/>
  <c r="O29" i="1" l="1"/>
  <c r="P24" i="1"/>
  <c r="P8" i="1"/>
  <c r="O30" i="1" l="1"/>
  <c r="Q24" i="1"/>
  <c r="O25" i="1"/>
  <c r="I13" i="1" l="1"/>
  <c r="J26" i="1"/>
  <c r="I22" i="1" l="1"/>
  <c r="J22" i="1"/>
  <c r="J30" i="1" l="1"/>
</calcChain>
</file>

<file path=xl/sharedStrings.xml><?xml version="1.0" encoding="utf-8"?>
<sst xmlns="http://schemas.openxmlformats.org/spreadsheetml/2006/main" count="117" uniqueCount="76">
  <si>
    <t>Northwest Natural Gas Company</t>
  </si>
  <si>
    <t>Worksheet c</t>
  </si>
  <si>
    <t>paid bonuses in 20 (Jason Lloyd)</t>
  </si>
  <si>
    <t>Bonus Adjustment</t>
  </si>
  <si>
    <t>NBU Goals Inc Bonus</t>
  </si>
  <si>
    <t>NBU Goals Inc Supp</t>
  </si>
  <si>
    <t>Exec</t>
  </si>
  <si>
    <t>Line</t>
  </si>
  <si>
    <t>2017 paid</t>
  </si>
  <si>
    <t>2018 paid</t>
  </si>
  <si>
    <t>2019 paid</t>
  </si>
  <si>
    <t>Test Year</t>
  </si>
  <si>
    <t>Key Goal Award</t>
  </si>
  <si>
    <t>No.</t>
  </si>
  <si>
    <t>in 2018</t>
  </si>
  <si>
    <t>in 2019</t>
  </si>
  <si>
    <t>in 2020</t>
  </si>
  <si>
    <t>Average</t>
  </si>
  <si>
    <t>Accrual</t>
  </si>
  <si>
    <t>Adjustment</t>
  </si>
  <si>
    <t>Key Goal Supp</t>
  </si>
  <si>
    <t>(c)</t>
  </si>
  <si>
    <t>(d)</t>
  </si>
  <si>
    <t>(e)</t>
  </si>
  <si>
    <t>(f)=(d)-(e)</t>
  </si>
  <si>
    <t>Officers/Exempt</t>
  </si>
  <si>
    <t>Accruals in TY</t>
  </si>
  <si>
    <t>Perf Bonus</t>
  </si>
  <si>
    <t>Performance Bonus - O &amp; M</t>
  </si>
  <si>
    <t>Key Goal</t>
  </si>
  <si>
    <t>Performance Bonus - Construction</t>
  </si>
  <si>
    <t>Clerical/Hourly</t>
  </si>
  <si>
    <t>O&amp;M Accrual</t>
  </si>
  <si>
    <t>Capital Accrual</t>
  </si>
  <si>
    <t>O&amp;M</t>
  </si>
  <si>
    <t>Cap</t>
  </si>
  <si>
    <t>Total</t>
  </si>
  <si>
    <t>Alloc Paid</t>
  </si>
  <si>
    <t>Off/Ex</t>
  </si>
  <si>
    <t>Total Adjusted O &amp; M (line 3 + line 9)</t>
  </si>
  <si>
    <t>BU</t>
  </si>
  <si>
    <t>Washington Allocation Factor</t>
  </si>
  <si>
    <t>Employee Cost</t>
  </si>
  <si>
    <t xml:space="preserve">     Adjustment to Washington - O&amp;M</t>
  </si>
  <si>
    <t>Alloc Accrued</t>
  </si>
  <si>
    <t>Total Adjusted Construction (line 6 + line 12)</t>
  </si>
  <si>
    <t>Gross Plant</t>
  </si>
  <si>
    <t xml:space="preserve">     Adjustment to Washington - Rate Base</t>
  </si>
  <si>
    <t>Test Year Based on Twelve Months Ended September 30, 2020</t>
  </si>
  <si>
    <t>Adjustment takes expense from test period accrual to 3 year paid average</t>
  </si>
  <si>
    <t>2020*</t>
  </si>
  <si>
    <t xml:space="preserve">   *Forecast</t>
  </si>
  <si>
    <t>Obtained from Previous Commission Basis Reports</t>
  </si>
  <si>
    <t>n/a</t>
  </si>
  <si>
    <t>Key Goals Bonus - O &amp; M [1]</t>
  </si>
  <si>
    <t>Key Goals Bonus - Construction [1]</t>
  </si>
  <si>
    <t>[1] Per the current Collective Bargaining Agreement, the Key Goals program does not continue past 2019</t>
  </si>
  <si>
    <t>2016 paid</t>
  </si>
  <si>
    <t>in 2017</t>
  </si>
  <si>
    <t>(a)</t>
  </si>
  <si>
    <t>(b)</t>
  </si>
  <si>
    <t>(f)</t>
  </si>
  <si>
    <t>(g)</t>
  </si>
  <si>
    <t>2015 paid</t>
  </si>
  <si>
    <t>in 2016</t>
  </si>
  <si>
    <t>Five Year</t>
  </si>
  <si>
    <t>Appliance Center Bonus</t>
  </si>
  <si>
    <t>NBU</t>
  </si>
  <si>
    <t>Employee Alloc</t>
  </si>
  <si>
    <t xml:space="preserve"> Average</t>
  </si>
  <si>
    <t>Three Year</t>
  </si>
  <si>
    <t>Accural</t>
  </si>
  <si>
    <t>Capital</t>
  </si>
  <si>
    <t>MBR-1T, Table 2</t>
  </si>
  <si>
    <t>NW Natural</t>
  </si>
  <si>
    <t>Pay at Risk - WA 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</si>
</sst>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%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5" fontId="5" fillId="0" borderId="0" applyFont="0" applyFill="0" applyBorder="0" applyAlignment="0" applyProtection="0">
      <alignment vertical="top"/>
    </xf>
    <xf numFmtId="3" fontId="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</cellStyleXfs>
  <cellXfs count="71">
    <xf numFmtId="0" fontId="0" fillId="0" borderId="0" xfId="0"/>
    <xf numFmtId="3" fontId="2" fillId="2" borderId="0" xfId="0" applyNumberFormat="1" applyFont="1" applyFill="1" applyAlignment="1">
      <alignment vertical="top"/>
    </xf>
    <xf numFmtId="3" fontId="3" fillId="2" borderId="0" xfId="0" applyNumberFormat="1" applyFont="1" applyFill="1" applyAlignment="1">
      <alignment vertical="top"/>
    </xf>
    <xf numFmtId="3" fontId="2" fillId="2" borderId="0" xfId="0" quotePrefix="1" applyNumberFormat="1" applyFont="1" applyFill="1" applyAlignment="1">
      <alignment horizontal="center" vertical="top"/>
    </xf>
    <xf numFmtId="3" fontId="2" fillId="2" borderId="0" xfId="0" quotePrefix="1" applyNumberFormat="1" applyFont="1" applyFill="1" applyAlignment="1">
      <alignment horizontal="left" vertical="top"/>
    </xf>
    <xf numFmtId="10" fontId="3" fillId="2" borderId="0" xfId="0" applyNumberFormat="1" applyFont="1" applyFill="1" applyAlignment="1">
      <alignment vertical="top"/>
    </xf>
    <xf numFmtId="3" fontId="3" fillId="2" borderId="0" xfId="0" applyNumberFormat="1" applyFont="1" applyFill="1" applyAlignment="1">
      <alignment horizontal="left" vertical="top"/>
    </xf>
    <xf numFmtId="3" fontId="2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3" fontId="2" fillId="2" borderId="1" xfId="0" quotePrefix="1" applyNumberFormat="1" applyFont="1" applyFill="1" applyBorder="1" applyAlignment="1">
      <alignment horizontal="center" vertical="top"/>
    </xf>
    <xf numFmtId="3" fontId="2" fillId="2" borderId="0" xfId="0" applyNumberFormat="1" applyFont="1" applyFill="1" applyBorder="1" applyAlignment="1">
      <alignment horizontal="center" vertical="top"/>
    </xf>
    <xf numFmtId="3" fontId="2" fillId="2" borderId="0" xfId="0" applyNumberFormat="1" applyFont="1" applyFill="1" applyAlignment="1">
      <alignment horizontal="left" vertical="top"/>
    </xf>
    <xf numFmtId="5" fontId="3" fillId="2" borderId="0" xfId="2" applyNumberFormat="1" applyFont="1" applyFill="1">
      <alignment vertical="top"/>
    </xf>
    <xf numFmtId="37" fontId="3" fillId="2" borderId="0" xfId="3" applyNumberFormat="1" applyFont="1" applyFill="1" applyBorder="1">
      <alignment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2" borderId="0" xfId="0" quotePrefix="1" applyNumberFormat="1" applyFont="1" applyFill="1" applyBorder="1" applyAlignment="1">
      <alignment horizontal="center" vertical="top"/>
    </xf>
    <xf numFmtId="37" fontId="3" fillId="2" borderId="1" xfId="3" applyNumberFormat="1" applyFont="1" applyFill="1" applyBorder="1">
      <alignment vertical="top"/>
    </xf>
    <xf numFmtId="3" fontId="3" fillId="2" borderId="1" xfId="0" applyNumberFormat="1" applyFont="1" applyFill="1" applyBorder="1" applyAlignment="1">
      <alignment horizontal="center" vertical="top"/>
    </xf>
    <xf numFmtId="37" fontId="3" fillId="2" borderId="0" xfId="3" applyNumberFormat="1" applyFont="1" applyFill="1">
      <alignment vertical="top"/>
    </xf>
    <xf numFmtId="3" fontId="3" fillId="2" borderId="1" xfId="0" applyNumberFormat="1" applyFont="1" applyFill="1" applyBorder="1" applyAlignment="1">
      <alignment vertical="top"/>
    </xf>
    <xf numFmtId="3" fontId="3" fillId="2" borderId="0" xfId="3" applyFont="1" applyFill="1">
      <alignment vertical="top"/>
    </xf>
    <xf numFmtId="5" fontId="3" fillId="2" borderId="0" xfId="2" applyFont="1" applyFill="1" applyBorder="1">
      <alignment vertical="top"/>
    </xf>
    <xf numFmtId="3" fontId="2" fillId="2" borderId="0" xfId="3" applyFont="1" applyFill="1">
      <alignment vertical="top"/>
    </xf>
    <xf numFmtId="5" fontId="3" fillId="2" borderId="2" xfId="2" applyFont="1" applyFill="1" applyBorder="1">
      <alignment vertical="top"/>
    </xf>
    <xf numFmtId="164" fontId="4" fillId="2" borderId="0" xfId="1" applyNumberFormat="1" applyFont="1" applyFill="1" applyAlignment="1">
      <alignment vertical="top"/>
    </xf>
    <xf numFmtId="3" fontId="4" fillId="2" borderId="0" xfId="0" applyNumberFormat="1" applyFont="1" applyFill="1" applyAlignment="1">
      <alignment vertical="top"/>
    </xf>
    <xf numFmtId="3" fontId="4" fillId="2" borderId="1" xfId="0" applyNumberFormat="1" applyFont="1" applyFill="1" applyBorder="1" applyAlignment="1">
      <alignment vertical="top"/>
    </xf>
    <xf numFmtId="5" fontId="4" fillId="2" borderId="0" xfId="2" applyNumberFormat="1" applyFont="1" applyFill="1" applyBorder="1">
      <alignment vertical="top"/>
    </xf>
    <xf numFmtId="5" fontId="3" fillId="2" borderId="0" xfId="2" applyNumberFormat="1" applyFont="1" applyFill="1" applyBorder="1">
      <alignment vertical="top"/>
    </xf>
    <xf numFmtId="37" fontId="4" fillId="2" borderId="0" xfId="3" applyNumberFormat="1" applyFont="1" applyFill="1" applyBorder="1">
      <alignment vertical="top"/>
    </xf>
    <xf numFmtId="3" fontId="6" fillId="2" borderId="0" xfId="0" applyNumberFormat="1" applyFont="1" applyFill="1" applyAlignment="1">
      <alignment vertical="top"/>
    </xf>
    <xf numFmtId="10" fontId="3" fillId="2" borderId="1" xfId="1" applyNumberFormat="1" applyFont="1" applyFill="1" applyBorder="1" applyAlignment="1">
      <alignment vertical="top"/>
    </xf>
    <xf numFmtId="37" fontId="4" fillId="2" borderId="0" xfId="3" applyNumberFormat="1" applyFont="1" applyFill="1" applyBorder="1" applyAlignment="1">
      <alignment horizontal="center" vertical="top"/>
    </xf>
    <xf numFmtId="37" fontId="3" fillId="2" borderId="0" xfId="3" applyNumberFormat="1" applyFont="1" applyFill="1" applyBorder="1" applyAlignment="1">
      <alignment horizontal="center" vertical="top"/>
    </xf>
    <xf numFmtId="37" fontId="3" fillId="2" borderId="1" xfId="3" applyNumberFormat="1" applyFont="1" applyFill="1" applyBorder="1" applyAlignment="1">
      <alignment horizontal="center" vertical="top"/>
    </xf>
    <xf numFmtId="7" fontId="3" fillId="2" borderId="0" xfId="2" applyNumberFormat="1" applyFont="1" applyFill="1" applyBorder="1">
      <alignment vertical="top"/>
    </xf>
    <xf numFmtId="0" fontId="0" fillId="0" borderId="0" xfId="0" applyFill="1"/>
    <xf numFmtId="3" fontId="2" fillId="0" borderId="0" xfId="0" quotePrefix="1" applyNumberFormat="1" applyFont="1" applyFill="1" applyAlignment="1">
      <alignment horizontal="center" vertical="top"/>
    </xf>
    <xf numFmtId="3" fontId="2" fillId="0" borderId="1" xfId="0" quotePrefix="1" applyNumberFormat="1" applyFont="1" applyFill="1" applyBorder="1" applyAlignment="1">
      <alignment horizontal="center" vertical="top"/>
    </xf>
    <xf numFmtId="165" fontId="0" fillId="0" borderId="0" xfId="4" applyNumberFormat="1" applyFont="1" applyFill="1"/>
    <xf numFmtId="165" fontId="3" fillId="0" borderId="0" xfId="4" applyNumberFormat="1" applyFont="1" applyFill="1" applyAlignment="1">
      <alignment vertical="top"/>
    </xf>
    <xf numFmtId="165" fontId="3" fillId="0" borderId="0" xfId="4" applyNumberFormat="1" applyFont="1" applyFill="1" applyBorder="1" applyAlignment="1">
      <alignment vertical="top"/>
    </xf>
    <xf numFmtId="165" fontId="0" fillId="0" borderId="0" xfId="4" applyNumberFormat="1" applyFont="1" applyFill="1" applyBorder="1"/>
    <xf numFmtId="165" fontId="3" fillId="0" borderId="0" xfId="4" applyNumberFormat="1" applyFont="1" applyFill="1"/>
    <xf numFmtId="165" fontId="3" fillId="0" borderId="0" xfId="4" applyNumberFormat="1" applyFont="1" applyFill="1" applyBorder="1"/>
    <xf numFmtId="0" fontId="3" fillId="0" borderId="1" xfId="0" applyFont="1" applyFill="1" applyBorder="1"/>
    <xf numFmtId="165" fontId="0" fillId="0" borderId="0" xfId="0" applyNumberFormat="1" applyFill="1"/>
    <xf numFmtId="165" fontId="0" fillId="0" borderId="3" xfId="0" applyNumberFormat="1" applyFill="1" applyBorder="1"/>
    <xf numFmtId="10" fontId="0" fillId="0" borderId="0" xfId="1" applyNumberFormat="1" applyFont="1" applyFill="1"/>
    <xf numFmtId="0" fontId="0" fillId="0" borderId="0" xfId="0" applyFill="1" applyBorder="1"/>
    <xf numFmtId="9" fontId="3" fillId="0" borderId="0" xfId="1" applyFont="1" applyBorder="1" applyAlignment="1">
      <alignment vertical="top"/>
    </xf>
    <xf numFmtId="43" fontId="0" fillId="0" borderId="0" xfId="0" applyNumberFormat="1" applyFill="1" applyBorder="1"/>
    <xf numFmtId="9" fontId="0" fillId="0" borderId="0" xfId="1" applyFont="1" applyFill="1" applyBorder="1"/>
    <xf numFmtId="3" fontId="2" fillId="0" borderId="0" xfId="0" applyNumberFormat="1" applyFont="1" applyFill="1" applyBorder="1" applyAlignment="1">
      <alignment horizontal="center" vertical="top"/>
    </xf>
    <xf numFmtId="0" fontId="7" fillId="0" borderId="0" xfId="0" applyFont="1" applyFill="1"/>
    <xf numFmtId="165" fontId="3" fillId="0" borderId="3" xfId="4" applyNumberFormat="1" applyFont="1" applyFill="1" applyBorder="1" applyAlignment="1">
      <alignment vertical="top"/>
    </xf>
    <xf numFmtId="3" fontId="2" fillId="0" borderId="0" xfId="0" applyNumberFormat="1" applyFont="1" applyFill="1" applyAlignment="1">
      <alignment horizontal="center" vertical="top"/>
    </xf>
    <xf numFmtId="10" fontId="0" fillId="0" borderId="0" xfId="1" applyNumberFormat="1" applyFont="1" applyFill="1" applyBorder="1"/>
    <xf numFmtId="10" fontId="0" fillId="0" borderId="0" xfId="0" applyNumberFormat="1" applyFill="1"/>
    <xf numFmtId="165" fontId="0" fillId="0" borderId="4" xfId="4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1" xfId="0" applyFill="1" applyBorder="1"/>
    <xf numFmtId="165" fontId="0" fillId="0" borderId="5" xfId="0" applyNumberFormat="1" applyFill="1" applyBorder="1"/>
    <xf numFmtId="165" fontId="0" fillId="0" borderId="0" xfId="0" applyNumberFormat="1" applyFill="1" applyBorder="1"/>
    <xf numFmtId="165" fontId="0" fillId="0" borderId="10" xfId="0" applyNumberFormat="1" applyFill="1" applyBorder="1"/>
    <xf numFmtId="3" fontId="2" fillId="0" borderId="0" xfId="0" quotePrefix="1" applyNumberFormat="1" applyFont="1" applyFill="1" applyBorder="1" applyAlignment="1">
      <alignment horizontal="center" vertical="top"/>
    </xf>
    <xf numFmtId="3" fontId="3" fillId="0" borderId="0" xfId="0" applyNumberFormat="1" applyFont="1" applyFill="1" applyAlignment="1">
      <alignment horizontal="right" vertical="top"/>
    </xf>
  </cellXfs>
  <cellStyles count="5">
    <cellStyle name="Comma" xfId="4" builtinId="3"/>
    <cellStyle name="Comma0" xfId="3" xr:uid="{6E588C35-BDA6-4E28-9BC1-8954E6BC46DE}"/>
    <cellStyle name="Currency0" xfId="2" xr:uid="{89AC35AB-6CD6-4A66-AC0C-9E5E5F143581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ory_Affairs\2020%20Washington%20General%20Rate%20Case\Revenue%20Requirement\Allocation%20Factors\UG-20XXXX-NWN-KTW-WP03%2012-18-20%20Allocation%20Fa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and Summary"/>
      <sheetName val="Employees"/>
      <sheetName val="Transmission"/>
      <sheetName val="Telemetering"/>
      <sheetName val="Perimeter Alloc"/>
      <sheetName val="Environmental"/>
    </sheetNames>
    <sheetDataSet>
      <sheetData sheetId="0">
        <row r="117">
          <cell r="D117">
            <v>0.109888</v>
          </cell>
        </row>
        <row r="122">
          <cell r="D122">
            <v>0.11970000000000003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A974C-A018-4A52-BFD2-C2324B90A37D}">
  <dimension ref="A1:U34"/>
  <sheetViews>
    <sheetView tabSelected="1" zoomScale="80" zoomScaleNormal="80" workbookViewId="0">
      <selection activeCell="C4" sqref="C4"/>
    </sheetView>
  </sheetViews>
  <sheetFormatPr defaultColWidth="9.140625" defaultRowHeight="15" x14ac:dyDescent="0.25"/>
  <cols>
    <col min="1" max="1" width="5.7109375" style="1" customWidth="1"/>
    <col min="2" max="2" width="41.7109375" style="1" customWidth="1"/>
    <col min="3" max="4" width="11.5703125" style="1" bestFit="1" customWidth="1"/>
    <col min="5" max="7" width="13.7109375" style="2" customWidth="1"/>
    <col min="8" max="8" width="14.42578125" style="2" bestFit="1" customWidth="1"/>
    <col min="9" max="10" width="13.7109375" style="2" customWidth="1"/>
    <col min="11" max="13" width="9.140625" style="2"/>
    <col min="14" max="14" width="18.140625" style="2" customWidth="1"/>
    <col min="15" max="18" width="12.85546875" style="2" customWidth="1"/>
    <col min="19" max="19" width="13.85546875" style="2" customWidth="1"/>
    <col min="20" max="20" width="9.140625" style="2"/>
    <col min="21" max="21" width="12.85546875" style="2" customWidth="1"/>
    <col min="22" max="16384" width="9.140625" style="2"/>
  </cols>
  <sheetData>
    <row r="1" spans="1:21" x14ac:dyDescent="0.25">
      <c r="A1" s="1" t="s">
        <v>0</v>
      </c>
      <c r="J1" s="3" t="s">
        <v>1</v>
      </c>
      <c r="N1" s="2" t="s">
        <v>2</v>
      </c>
    </row>
    <row r="2" spans="1:21" x14ac:dyDescent="0.25">
      <c r="A2" s="4" t="s">
        <v>48</v>
      </c>
      <c r="J2" s="5"/>
    </row>
    <row r="3" spans="1:21" x14ac:dyDescent="0.25">
      <c r="A3" s="1" t="s">
        <v>3</v>
      </c>
      <c r="J3" s="5"/>
      <c r="N3" s="2" t="s">
        <v>4</v>
      </c>
      <c r="P3" s="26">
        <v>7302843</v>
      </c>
    </row>
    <row r="4" spans="1:21" x14ac:dyDescent="0.25">
      <c r="I4" s="6"/>
      <c r="N4" s="2" t="s">
        <v>5</v>
      </c>
      <c r="P4" s="26">
        <v>398052.37</v>
      </c>
    </row>
    <row r="5" spans="1:21" x14ac:dyDescent="0.25">
      <c r="E5" s="7"/>
      <c r="F5" s="7"/>
      <c r="G5" s="7"/>
      <c r="I5" s="8"/>
      <c r="N5" s="2" t="s">
        <v>6</v>
      </c>
      <c r="P5" s="26">
        <v>2357299</v>
      </c>
    </row>
    <row r="6" spans="1:21" x14ac:dyDescent="0.25">
      <c r="A6" s="7" t="s">
        <v>7</v>
      </c>
      <c r="C6" s="3" t="s">
        <v>63</v>
      </c>
      <c r="D6" s="3" t="s">
        <v>57</v>
      </c>
      <c r="E6" s="3" t="s">
        <v>8</v>
      </c>
      <c r="F6" s="3" t="s">
        <v>9</v>
      </c>
      <c r="G6" s="3" t="s">
        <v>10</v>
      </c>
      <c r="H6" s="7" t="s">
        <v>65</v>
      </c>
      <c r="I6" s="7" t="s">
        <v>11</v>
      </c>
      <c r="J6" s="7"/>
      <c r="N6" s="2" t="s">
        <v>12</v>
      </c>
      <c r="P6" s="26">
        <v>1101383</v>
      </c>
    </row>
    <row r="7" spans="1:21" x14ac:dyDescent="0.25">
      <c r="A7" s="9" t="s">
        <v>13</v>
      </c>
      <c r="C7" s="10" t="s">
        <v>64</v>
      </c>
      <c r="D7" s="10" t="s">
        <v>58</v>
      </c>
      <c r="E7" s="10" t="s">
        <v>14</v>
      </c>
      <c r="F7" s="10" t="s">
        <v>15</v>
      </c>
      <c r="G7" s="10" t="s">
        <v>16</v>
      </c>
      <c r="H7" s="9" t="s">
        <v>17</v>
      </c>
      <c r="I7" s="9" t="s">
        <v>18</v>
      </c>
      <c r="J7" s="9" t="s">
        <v>19</v>
      </c>
      <c r="N7" s="2" t="s">
        <v>20</v>
      </c>
      <c r="P7" s="27">
        <v>52416</v>
      </c>
    </row>
    <row r="8" spans="1:21" x14ac:dyDescent="0.25">
      <c r="C8" s="7" t="s">
        <v>59</v>
      </c>
      <c r="D8" s="7" t="s">
        <v>60</v>
      </c>
      <c r="E8" s="7" t="s">
        <v>21</v>
      </c>
      <c r="F8" s="7" t="s">
        <v>22</v>
      </c>
      <c r="G8" s="7" t="s">
        <v>23</v>
      </c>
      <c r="H8" s="7" t="s">
        <v>61</v>
      </c>
      <c r="I8" s="7" t="s">
        <v>62</v>
      </c>
      <c r="J8" s="7" t="s">
        <v>24</v>
      </c>
      <c r="P8" s="2">
        <f>SUM(P3:P7)</f>
        <v>11211993.370000001</v>
      </c>
    </row>
    <row r="9" spans="1:21" x14ac:dyDescent="0.25">
      <c r="B9" s="9" t="s">
        <v>25</v>
      </c>
      <c r="C9" s="2"/>
      <c r="D9" s="2"/>
      <c r="N9" s="2" t="s">
        <v>26</v>
      </c>
    </row>
    <row r="10" spans="1:21" x14ac:dyDescent="0.25">
      <c r="B10" s="11"/>
      <c r="C10" s="2"/>
      <c r="D10" s="2"/>
      <c r="O10" s="2" t="s">
        <v>27</v>
      </c>
      <c r="P10" s="2">
        <v>9269724.0651998669</v>
      </c>
    </row>
    <row r="11" spans="1:21" x14ac:dyDescent="0.25">
      <c r="A11" s="7">
        <v>1</v>
      </c>
      <c r="B11" s="12" t="s">
        <v>28</v>
      </c>
      <c r="C11" s="28">
        <v>6213593</v>
      </c>
      <c r="D11" s="28">
        <v>5597391</v>
      </c>
      <c r="E11" s="28">
        <v>6107412</v>
      </c>
      <c r="F11" s="28">
        <v>6248052.9786258182</v>
      </c>
      <c r="G11" s="29">
        <f>+P23</f>
        <v>6790398.8596917978</v>
      </c>
      <c r="H11" s="36">
        <f>SUM(C11:G11)/5</f>
        <v>6191369.5676635234</v>
      </c>
      <c r="I11" s="13">
        <f>+P28</f>
        <v>5850926.6907064337</v>
      </c>
      <c r="J11" s="13">
        <f>H11-I11</f>
        <v>340442.87695708964</v>
      </c>
      <c r="O11" s="2" t="s">
        <v>29</v>
      </c>
      <c r="P11" s="2">
        <v>245904.05511476949</v>
      </c>
    </row>
    <row r="12" spans="1:21" x14ac:dyDescent="0.25">
      <c r="A12" s="7"/>
      <c r="B12" s="4"/>
      <c r="C12" s="14"/>
      <c r="D12" s="14"/>
      <c r="E12" s="14"/>
      <c r="F12" s="14"/>
      <c r="G12" s="14"/>
      <c r="H12" s="14"/>
      <c r="I12" s="14"/>
      <c r="J12" s="14"/>
    </row>
    <row r="13" spans="1:21" x14ac:dyDescent="0.25">
      <c r="A13" s="7">
        <v>2</v>
      </c>
      <c r="B13" s="12" t="s">
        <v>30</v>
      </c>
      <c r="C13" s="30">
        <v>2580181</v>
      </c>
      <c r="D13" s="30">
        <v>2594415</v>
      </c>
      <c r="E13" s="30">
        <v>2952686</v>
      </c>
      <c r="F13" s="30">
        <v>2907512.6813741815</v>
      </c>
      <c r="G13" s="14">
        <f>+Q23</f>
        <v>3267795.5103082033</v>
      </c>
      <c r="H13" s="14">
        <f>SUM(C13:G13)/5</f>
        <v>2860518.0383364768</v>
      </c>
      <c r="I13" s="14">
        <f>+Q28</f>
        <v>3418797.3744934336</v>
      </c>
      <c r="J13" s="14">
        <f>H13-I13</f>
        <v>-558279.33615695685</v>
      </c>
    </row>
    <row r="14" spans="1:21" x14ac:dyDescent="0.25">
      <c r="A14" s="7"/>
      <c r="B14" s="12"/>
      <c r="C14" s="14"/>
      <c r="D14" s="14"/>
      <c r="E14" s="14"/>
      <c r="F14" s="14"/>
      <c r="G14" s="14"/>
      <c r="H14" s="14"/>
      <c r="I14" s="14"/>
      <c r="J14" s="14"/>
      <c r="N14" s="1" t="s">
        <v>52</v>
      </c>
    </row>
    <row r="15" spans="1:21" x14ac:dyDescent="0.25">
      <c r="A15" s="7"/>
      <c r="B15" s="12"/>
      <c r="C15" s="14"/>
      <c r="D15" s="14"/>
      <c r="E15" s="14"/>
      <c r="F15" s="14"/>
      <c r="G15" s="14"/>
      <c r="H15" s="14"/>
      <c r="I15" s="14"/>
      <c r="J15" s="14"/>
      <c r="O15" s="15">
        <v>2016</v>
      </c>
      <c r="P15" s="15">
        <v>2017</v>
      </c>
      <c r="Q15" s="15">
        <v>2018</v>
      </c>
      <c r="R15" s="15">
        <v>2019</v>
      </c>
      <c r="S15" s="15" t="s">
        <v>50</v>
      </c>
      <c r="U15" s="31"/>
    </row>
    <row r="16" spans="1:21" x14ac:dyDescent="0.25">
      <c r="A16" s="7"/>
      <c r="B16" s="10" t="s">
        <v>31</v>
      </c>
      <c r="C16" s="14"/>
      <c r="D16" s="14"/>
      <c r="E16" s="14"/>
      <c r="F16" s="14"/>
      <c r="G16" s="14"/>
      <c r="H16" s="14"/>
      <c r="I16" s="14"/>
      <c r="J16" s="14"/>
      <c r="N16" s="2" t="s">
        <v>32</v>
      </c>
      <c r="O16" s="25">
        <v>0.68910000000000005</v>
      </c>
      <c r="P16" s="25">
        <v>0.67410000000000003</v>
      </c>
      <c r="Q16" s="25">
        <v>0.68423405499504553</v>
      </c>
      <c r="R16" s="25">
        <v>0.6751111193421685</v>
      </c>
      <c r="S16" s="25">
        <v>0.66962613861438325</v>
      </c>
      <c r="U16" s="31"/>
    </row>
    <row r="17" spans="1:21" x14ac:dyDescent="0.25">
      <c r="A17" s="7"/>
      <c r="B17" s="16"/>
      <c r="C17" s="14"/>
      <c r="D17" s="14"/>
      <c r="E17" s="14"/>
      <c r="F17" s="14"/>
      <c r="G17" s="14"/>
      <c r="H17" s="14"/>
      <c r="I17" s="14"/>
      <c r="J17" s="14"/>
      <c r="N17" s="2" t="s">
        <v>33</v>
      </c>
      <c r="O17" s="25">
        <v>0.31090000000000001</v>
      </c>
      <c r="P17" s="25">
        <v>0.32590000000000002</v>
      </c>
      <c r="Q17" s="25">
        <v>0.31576594500495442</v>
      </c>
      <c r="R17" s="25">
        <v>0.32488888065783156</v>
      </c>
      <c r="S17" s="25">
        <f>1-S16</f>
        <v>0.33037386138561675</v>
      </c>
      <c r="U17" s="31"/>
    </row>
    <row r="18" spans="1:21" x14ac:dyDescent="0.25">
      <c r="A18" s="7">
        <v>3</v>
      </c>
      <c r="B18" s="12" t="s">
        <v>54</v>
      </c>
      <c r="C18" s="33" t="s">
        <v>53</v>
      </c>
      <c r="D18" s="33" t="s">
        <v>53</v>
      </c>
      <c r="E18" s="33" t="s">
        <v>53</v>
      </c>
      <c r="F18" s="33" t="s">
        <v>53</v>
      </c>
      <c r="G18" s="33" t="s">
        <v>53</v>
      </c>
      <c r="H18" s="33" t="s">
        <v>53</v>
      </c>
      <c r="I18" s="33">
        <v>147938.04453749507</v>
      </c>
      <c r="J18" s="14">
        <f>-I18</f>
        <v>-147938.04453749507</v>
      </c>
      <c r="N18" s="2" t="s">
        <v>51</v>
      </c>
      <c r="U18" s="31"/>
    </row>
    <row r="19" spans="1:21" x14ac:dyDescent="0.25">
      <c r="A19" s="7"/>
      <c r="B19" s="12"/>
      <c r="C19" s="33" t="s">
        <v>53</v>
      </c>
      <c r="D19" s="33" t="s">
        <v>53</v>
      </c>
      <c r="E19" s="33" t="s">
        <v>53</v>
      </c>
      <c r="F19" s="33" t="s">
        <v>53</v>
      </c>
      <c r="G19" s="33" t="s">
        <v>53</v>
      </c>
      <c r="H19" s="33" t="s">
        <v>53</v>
      </c>
      <c r="I19" s="34"/>
      <c r="J19" s="14"/>
    </row>
    <row r="20" spans="1:21" x14ac:dyDescent="0.25">
      <c r="A20" s="7">
        <v>4</v>
      </c>
      <c r="B20" s="12" t="s">
        <v>55</v>
      </c>
      <c r="C20" s="33" t="s">
        <v>53</v>
      </c>
      <c r="D20" s="33" t="s">
        <v>53</v>
      </c>
      <c r="E20" s="33" t="s">
        <v>53</v>
      </c>
      <c r="F20" s="33" t="s">
        <v>53</v>
      </c>
      <c r="G20" s="33" t="s">
        <v>53</v>
      </c>
      <c r="H20" s="33" t="s">
        <v>53</v>
      </c>
      <c r="I20" s="33">
        <v>97966.010577274428</v>
      </c>
      <c r="J20" s="14">
        <f>-I20</f>
        <v>-97966.010577274428</v>
      </c>
    </row>
    <row r="21" spans="1:21" x14ac:dyDescent="0.25">
      <c r="A21" s="7"/>
      <c r="B21" s="12"/>
      <c r="C21" s="35"/>
      <c r="D21" s="35"/>
      <c r="E21" s="35"/>
      <c r="F21" s="35"/>
      <c r="G21" s="35"/>
      <c r="H21" s="35"/>
      <c r="I21" s="35"/>
      <c r="J21" s="17"/>
      <c r="P21" s="18" t="s">
        <v>34</v>
      </c>
      <c r="Q21" s="18" t="s">
        <v>35</v>
      </c>
    </row>
    <row r="22" spans="1:21" x14ac:dyDescent="0.25">
      <c r="A22" s="7">
        <v>5</v>
      </c>
      <c r="B22" s="12" t="s">
        <v>36</v>
      </c>
      <c r="C22" s="19">
        <f>+C11+C13</f>
        <v>8793774</v>
      </c>
      <c r="D22" s="19">
        <f t="shared" ref="D22" si="0">+D11+D13</f>
        <v>8191806</v>
      </c>
      <c r="E22" s="19">
        <f>+E11+E13</f>
        <v>9060098</v>
      </c>
      <c r="F22" s="19">
        <f t="shared" ref="F22:H22" si="1">+F11+F13</f>
        <v>9155565.6600000001</v>
      </c>
      <c r="G22" s="19">
        <f t="shared" si="1"/>
        <v>10058194.370000001</v>
      </c>
      <c r="H22" s="19">
        <f t="shared" si="1"/>
        <v>9051887.6060000006</v>
      </c>
      <c r="I22" s="19">
        <f t="shared" ref="I22:J22" si="2">+I11+I13+I18+I20</f>
        <v>9515628.1203146372</v>
      </c>
      <c r="J22" s="19">
        <f t="shared" si="2"/>
        <v>-463740.5143146367</v>
      </c>
      <c r="N22" s="20" t="s">
        <v>37</v>
      </c>
    </row>
    <row r="23" spans="1:21" x14ac:dyDescent="0.25">
      <c r="A23" s="7"/>
      <c r="B23" s="12"/>
      <c r="C23" s="12"/>
      <c r="D23" s="12"/>
      <c r="E23" s="21"/>
      <c r="F23" s="21"/>
      <c r="G23" s="21"/>
      <c r="H23" s="21"/>
      <c r="I23" s="21"/>
      <c r="J23" s="21"/>
      <c r="N23" s="2" t="s">
        <v>38</v>
      </c>
      <c r="O23" s="2">
        <f>+P3+P4+P5</f>
        <v>10058194.370000001</v>
      </c>
      <c r="P23" s="2">
        <f>+O23*R16</f>
        <v>6790398.8596917978</v>
      </c>
      <c r="Q23" s="2">
        <f>+O23-P23</f>
        <v>3267795.5103082033</v>
      </c>
    </row>
    <row r="24" spans="1:21" x14ac:dyDescent="0.25">
      <c r="A24" s="7">
        <v>6</v>
      </c>
      <c r="B24" s="4" t="s">
        <v>39</v>
      </c>
      <c r="C24" s="4"/>
      <c r="D24" s="4"/>
      <c r="E24" s="21"/>
      <c r="F24" s="21"/>
      <c r="G24" s="21"/>
      <c r="H24" s="21"/>
      <c r="I24" s="21"/>
      <c r="J24" s="22">
        <f>J11+J18</f>
        <v>192504.83241959458</v>
      </c>
      <c r="N24" s="2" t="s">
        <v>40</v>
      </c>
      <c r="O24" s="20">
        <f>+P6+P7</f>
        <v>1153799</v>
      </c>
      <c r="P24" s="2">
        <f>+O24*R16</f>
        <v>778942.53438587463</v>
      </c>
      <c r="Q24" s="2">
        <f>+O24-P24</f>
        <v>374856.46561412537</v>
      </c>
    </row>
    <row r="25" spans="1:21" x14ac:dyDescent="0.25">
      <c r="A25" s="7">
        <v>7</v>
      </c>
      <c r="B25" s="12" t="s">
        <v>41</v>
      </c>
      <c r="C25" s="12"/>
      <c r="D25" s="12"/>
      <c r="E25" s="21"/>
      <c r="F25" s="21"/>
      <c r="G25" s="21"/>
      <c r="H25" s="23" t="s">
        <v>42</v>
      </c>
      <c r="J25" s="32">
        <f>'[1]Primary and Summary'!$D$117</f>
        <v>0.109888</v>
      </c>
      <c r="O25" s="2">
        <f>SUM(O23:O24)</f>
        <v>11211993.370000001</v>
      </c>
    </row>
    <row r="26" spans="1:21" ht="15.75" thickBot="1" x14ac:dyDescent="0.3">
      <c r="A26" s="7">
        <v>8</v>
      </c>
      <c r="B26" s="4" t="s">
        <v>43</v>
      </c>
      <c r="C26" s="4"/>
      <c r="D26" s="4"/>
      <c r="E26" s="21"/>
      <c r="F26" s="21"/>
      <c r="G26" s="21"/>
      <c r="H26" s="23"/>
      <c r="J26" s="24">
        <f>(J24*J25)</f>
        <v>21153.971024924409</v>
      </c>
    </row>
    <row r="27" spans="1:21" ht="15.75" thickTop="1" x14ac:dyDescent="0.25">
      <c r="A27" s="7"/>
      <c r="B27" s="12"/>
      <c r="C27" s="12"/>
      <c r="D27" s="12"/>
      <c r="E27" s="21"/>
      <c r="F27" s="21"/>
      <c r="G27" s="21"/>
      <c r="H27" s="23"/>
      <c r="J27" s="22"/>
      <c r="N27" s="20" t="s">
        <v>44</v>
      </c>
    </row>
    <row r="28" spans="1:21" x14ac:dyDescent="0.25">
      <c r="A28" s="7">
        <v>9</v>
      </c>
      <c r="B28" s="4" t="s">
        <v>45</v>
      </c>
      <c r="C28" s="4"/>
      <c r="D28" s="4"/>
      <c r="E28" s="21"/>
      <c r="F28" s="21"/>
      <c r="G28" s="21"/>
      <c r="H28" s="23"/>
      <c r="J28" s="22">
        <f>J13+J20</f>
        <v>-656245.34673423134</v>
      </c>
      <c r="N28" s="2" t="s">
        <v>38</v>
      </c>
      <c r="O28" s="2">
        <f>+P10</f>
        <v>9269724.0651998669</v>
      </c>
      <c r="P28" s="26">
        <v>5850926.6907064337</v>
      </c>
      <c r="Q28" s="26">
        <v>3418797.3744934336</v>
      </c>
    </row>
    <row r="29" spans="1:21" x14ac:dyDescent="0.25">
      <c r="A29" s="7">
        <v>10</v>
      </c>
      <c r="B29" s="12" t="s">
        <v>41</v>
      </c>
      <c r="C29" s="12"/>
      <c r="D29" s="12"/>
      <c r="E29" s="21"/>
      <c r="F29" s="21"/>
      <c r="G29" s="21"/>
      <c r="H29" s="1" t="s">
        <v>46</v>
      </c>
      <c r="J29" s="32">
        <f>'[1]Primary and Summary'!$D$122</f>
        <v>0.11970000000000003</v>
      </c>
      <c r="N29" s="2" t="s">
        <v>40</v>
      </c>
      <c r="O29" s="20">
        <f>+P11</f>
        <v>245904.05511476949</v>
      </c>
      <c r="P29" s="26">
        <v>147938.04453749507</v>
      </c>
      <c r="Q29" s="26">
        <v>97966.010577274428</v>
      </c>
    </row>
    <row r="30" spans="1:21" ht="15.75" thickBot="1" x14ac:dyDescent="0.3">
      <c r="A30" s="7">
        <v>11</v>
      </c>
      <c r="B30" s="4" t="s">
        <v>47</v>
      </c>
      <c r="C30" s="4"/>
      <c r="D30" s="4"/>
      <c r="E30" s="21"/>
      <c r="F30" s="21"/>
      <c r="G30" s="21"/>
      <c r="J30" s="24">
        <f>J28*J29</f>
        <v>-78552.568004087516</v>
      </c>
      <c r="O30" s="2">
        <f>SUM(O28:O29)</f>
        <v>9515628.1203146372</v>
      </c>
    </row>
    <row r="31" spans="1:21" ht="15.75" thickTop="1" x14ac:dyDescent="0.25">
      <c r="E31" s="21"/>
      <c r="F31" s="21"/>
      <c r="G31" s="21"/>
    </row>
    <row r="32" spans="1:21" x14ac:dyDescent="0.25">
      <c r="E32" s="21"/>
      <c r="F32" s="21"/>
      <c r="G32" s="21"/>
    </row>
    <row r="33" spans="1:10" x14ac:dyDescent="0.25">
      <c r="A33" s="1" t="s">
        <v>49</v>
      </c>
      <c r="J33" s="5"/>
    </row>
    <row r="34" spans="1:10" x14ac:dyDescent="0.25">
      <c r="A34" s="1" t="s">
        <v>56</v>
      </c>
    </row>
  </sheetData>
  <pageMargins left="0.7" right="0.7" top="0.75" bottom="0.75" header="0.3" footer="0.3"/>
  <pageSetup orientation="portrait" r:id="rId1"/>
  <headerFooter>
    <oddHeader>&amp;RExh. MBR-1T Rogers WP2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77D71-7A22-43F5-BBE2-5CFC62D8EED5}">
  <dimension ref="A1:H35"/>
  <sheetViews>
    <sheetView showGridLines="0" zoomScaleNormal="100" workbookViewId="0">
      <selection activeCell="C4" sqref="C4"/>
    </sheetView>
  </sheetViews>
  <sheetFormatPr defaultColWidth="8.7109375" defaultRowHeight="15" x14ac:dyDescent="0.25"/>
  <cols>
    <col min="1" max="1" width="10.5703125" style="37" bestFit="1" customWidth="1"/>
    <col min="2" max="2" width="12.5703125" style="37" bestFit="1" customWidth="1"/>
    <col min="3" max="3" width="13.85546875" style="37" bestFit="1" customWidth="1"/>
    <col min="4" max="4" width="13.5703125" style="37" bestFit="1" customWidth="1"/>
    <col min="5" max="5" width="12.5703125" style="37" bestFit="1" customWidth="1"/>
    <col min="6" max="6" width="15.7109375" style="37" customWidth="1"/>
    <col min="7" max="7" width="11.5703125" style="37" bestFit="1" customWidth="1"/>
    <col min="8" max="8" width="11.28515625" style="37" bestFit="1" customWidth="1"/>
    <col min="9" max="16384" width="8.7109375" style="37"/>
  </cols>
  <sheetData>
    <row r="1" spans="1:8" x14ac:dyDescent="0.25">
      <c r="A1" s="55" t="s">
        <v>74</v>
      </c>
    </row>
    <row r="2" spans="1:8" x14ac:dyDescent="0.25">
      <c r="A2" s="55" t="s">
        <v>75</v>
      </c>
    </row>
    <row r="3" spans="1:8" x14ac:dyDescent="0.25">
      <c r="A3" s="69"/>
      <c r="B3" s="69"/>
      <c r="C3" s="38" t="s">
        <v>8</v>
      </c>
      <c r="D3" s="38" t="s">
        <v>9</v>
      </c>
      <c r="E3" s="38" t="s">
        <v>10</v>
      </c>
      <c r="F3" s="55" t="s">
        <v>70</v>
      </c>
      <c r="G3" s="57" t="s">
        <v>11</v>
      </c>
    </row>
    <row r="4" spans="1:8" x14ac:dyDescent="0.25">
      <c r="A4" s="69"/>
      <c r="B4" s="69"/>
      <c r="C4" s="39" t="s">
        <v>14</v>
      </c>
      <c r="D4" s="39" t="s">
        <v>15</v>
      </c>
      <c r="E4" s="39" t="s">
        <v>16</v>
      </c>
      <c r="F4" s="54" t="s">
        <v>69</v>
      </c>
      <c r="G4" s="54" t="s">
        <v>71</v>
      </c>
      <c r="H4" s="54" t="s">
        <v>19</v>
      </c>
    </row>
    <row r="5" spans="1:8" x14ac:dyDescent="0.25">
      <c r="A5" s="45"/>
      <c r="B5" s="70" t="s">
        <v>4</v>
      </c>
      <c r="C5" s="41">
        <v>6614472</v>
      </c>
      <c r="D5" s="44">
        <v>6661285.6600000001</v>
      </c>
      <c r="E5" s="41">
        <v>7302843</v>
      </c>
      <c r="F5" s="56">
        <f>AVERAGE(C5:E5)</f>
        <v>6859533.5533333337</v>
      </c>
    </row>
    <row r="6" spans="1:8" x14ac:dyDescent="0.25">
      <c r="A6" s="45"/>
      <c r="B6" s="70" t="s">
        <v>5</v>
      </c>
      <c r="C6" s="41">
        <v>470626</v>
      </c>
      <c r="D6" s="44">
        <v>246280</v>
      </c>
      <c r="E6" s="41">
        <v>398052.37</v>
      </c>
      <c r="F6" s="41">
        <f t="shared" ref="F6:F7" si="0">AVERAGE(C6:E6)</f>
        <v>371652.79000000004</v>
      </c>
    </row>
    <row r="7" spans="1:8" x14ac:dyDescent="0.25">
      <c r="A7" s="45"/>
      <c r="B7" s="70" t="s">
        <v>6</v>
      </c>
      <c r="C7" s="41">
        <v>1975000</v>
      </c>
      <c r="D7" s="44">
        <v>2248000</v>
      </c>
      <c r="E7" s="41">
        <v>2357299</v>
      </c>
      <c r="F7" s="41">
        <f t="shared" si="0"/>
        <v>2193433</v>
      </c>
    </row>
    <row r="8" spans="1:8" x14ac:dyDescent="0.25">
      <c r="A8" s="45"/>
      <c r="B8" s="70" t="s">
        <v>12</v>
      </c>
      <c r="C8" s="41">
        <v>1587749</v>
      </c>
      <c r="D8" s="44">
        <v>865646.84</v>
      </c>
      <c r="E8" s="41">
        <v>1101383</v>
      </c>
      <c r="F8" s="41"/>
    </row>
    <row r="9" spans="1:8" x14ac:dyDescent="0.25">
      <c r="A9" s="45"/>
      <c r="B9" s="70" t="s">
        <v>20</v>
      </c>
      <c r="C9" s="42">
        <v>52841</v>
      </c>
      <c r="D9" s="45">
        <v>23644.85</v>
      </c>
      <c r="E9" s="42">
        <v>52416</v>
      </c>
      <c r="F9" s="42"/>
    </row>
    <row r="10" spans="1:8" x14ac:dyDescent="0.25">
      <c r="A10" s="45"/>
      <c r="B10" s="70" t="s">
        <v>66</v>
      </c>
      <c r="C10" s="46"/>
      <c r="D10" s="46"/>
      <c r="E10" s="46"/>
      <c r="F10" s="46"/>
    </row>
    <row r="11" spans="1:8" x14ac:dyDescent="0.25">
      <c r="A11" s="43"/>
      <c r="B11" s="70"/>
      <c r="C11" s="40">
        <f t="shared" ref="C11:E11" si="1">SUM(C5:C10)</f>
        <v>10700688</v>
      </c>
      <c r="D11" s="40">
        <f t="shared" si="1"/>
        <v>10044857.35</v>
      </c>
      <c r="E11" s="40">
        <f t="shared" si="1"/>
        <v>11211993.370000001</v>
      </c>
      <c r="F11" s="40">
        <f>SUM(F5:F7)</f>
        <v>9424619.3433333337</v>
      </c>
    </row>
    <row r="12" spans="1:8" x14ac:dyDescent="0.25">
      <c r="A12" s="43"/>
      <c r="B12" s="70"/>
      <c r="C12" s="40"/>
      <c r="D12" s="40"/>
      <c r="E12" s="40"/>
    </row>
    <row r="13" spans="1:8" x14ac:dyDescent="0.25">
      <c r="A13" s="43"/>
      <c r="B13" s="70"/>
    </row>
    <row r="14" spans="1:8" x14ac:dyDescent="0.25">
      <c r="A14" s="43"/>
      <c r="B14" s="70" t="s">
        <v>67</v>
      </c>
      <c r="C14" s="40">
        <f t="shared" ref="C14:E14" si="2">SUM(C5:C6)</f>
        <v>7085098</v>
      </c>
      <c r="D14" s="40">
        <f t="shared" si="2"/>
        <v>6907565.6600000001</v>
      </c>
      <c r="E14" s="40">
        <f t="shared" si="2"/>
        <v>7700895.3700000001</v>
      </c>
      <c r="F14" s="40">
        <f t="shared" ref="F14:F15" si="3">AVERAGE(C14:E14)</f>
        <v>7231186.3433333337</v>
      </c>
      <c r="G14" s="40">
        <v>10748361.818877067</v>
      </c>
      <c r="H14" s="47">
        <f>F14-G14</f>
        <v>-3517175.4755437337</v>
      </c>
    </row>
    <row r="15" spans="1:8" x14ac:dyDescent="0.25">
      <c r="A15" s="43"/>
      <c r="B15" s="70" t="s">
        <v>6</v>
      </c>
      <c r="C15" s="40">
        <f t="shared" ref="C15:E15" si="4">C7</f>
        <v>1975000</v>
      </c>
      <c r="D15" s="40">
        <f t="shared" si="4"/>
        <v>2248000</v>
      </c>
      <c r="E15" s="40">
        <f t="shared" si="4"/>
        <v>2357299</v>
      </c>
      <c r="F15" s="40">
        <f t="shared" si="3"/>
        <v>2193433</v>
      </c>
      <c r="G15" s="40">
        <v>-1478637.7536771987</v>
      </c>
      <c r="H15" s="47">
        <f>F15-G15</f>
        <v>3672070.7536771987</v>
      </c>
    </row>
    <row r="16" spans="1:8" x14ac:dyDescent="0.25">
      <c r="A16" s="67"/>
      <c r="B16" s="67"/>
      <c r="C16" s="48">
        <f t="shared" ref="C16:E16" si="5">SUM(C14:C15)</f>
        <v>9060098</v>
      </c>
      <c r="D16" s="48">
        <f t="shared" si="5"/>
        <v>9155565.6600000001</v>
      </c>
      <c r="E16" s="48">
        <f t="shared" si="5"/>
        <v>10058194.370000001</v>
      </c>
      <c r="F16" s="48">
        <f>SUM(F14:F15)</f>
        <v>9424619.3433333337</v>
      </c>
      <c r="G16" s="48">
        <f t="shared" ref="G16:H16" si="6">SUM(G14:G15)</f>
        <v>9269724.0651998688</v>
      </c>
      <c r="H16" s="48">
        <f t="shared" si="6"/>
        <v>154895.27813346498</v>
      </c>
    </row>
    <row r="17" spans="1:6" x14ac:dyDescent="0.25">
      <c r="A17" s="40"/>
    </row>
    <row r="18" spans="1:6" x14ac:dyDescent="0.25">
      <c r="A18" s="43"/>
      <c r="B18" s="50" t="s">
        <v>34</v>
      </c>
      <c r="C18" s="58">
        <v>0.6740999931788817</v>
      </c>
      <c r="D18" s="49">
        <v>0.6824322178063893</v>
      </c>
      <c r="E18" s="49">
        <v>0.6751111193421685</v>
      </c>
      <c r="F18" s="59">
        <f>AVERAGE(C18:E18)</f>
        <v>0.67721444344247983</v>
      </c>
    </row>
    <row r="19" spans="1:6" x14ac:dyDescent="0.25">
      <c r="A19" s="43"/>
      <c r="B19" s="50" t="s">
        <v>72</v>
      </c>
      <c r="C19" s="58">
        <v>0.3259000068211183</v>
      </c>
      <c r="D19" s="49">
        <v>0.3175677821936107</v>
      </c>
      <c r="E19" s="49">
        <v>0.3248888806578315</v>
      </c>
      <c r="F19" s="59">
        <f>AVERAGE(C19:E19)</f>
        <v>0.32278555655752017</v>
      </c>
    </row>
    <row r="20" spans="1:6" x14ac:dyDescent="0.25">
      <c r="A20" s="50"/>
      <c r="B20" s="50"/>
      <c r="C20" s="43"/>
    </row>
    <row r="21" spans="1:6" x14ac:dyDescent="0.25">
      <c r="A21" s="50"/>
      <c r="B21" s="50"/>
      <c r="C21" s="50"/>
    </row>
    <row r="22" spans="1:6" x14ac:dyDescent="0.25">
      <c r="A22" s="50"/>
      <c r="B22" s="50"/>
      <c r="C22" s="52"/>
    </row>
    <row r="23" spans="1:6" x14ac:dyDescent="0.25">
      <c r="A23" s="50"/>
      <c r="B23" s="50"/>
      <c r="C23" s="52"/>
      <c r="D23" s="49" t="s">
        <v>68</v>
      </c>
      <c r="E23" s="49">
        <f>Sheet1!J25</f>
        <v>0.109888</v>
      </c>
    </row>
    <row r="24" spans="1:6" x14ac:dyDescent="0.25">
      <c r="A24" s="50"/>
      <c r="B24" s="50"/>
      <c r="C24" s="52"/>
      <c r="D24" s="40" t="s">
        <v>46</v>
      </c>
      <c r="E24" s="49">
        <f>Sheet1!J29</f>
        <v>0.11970000000000003</v>
      </c>
    </row>
    <row r="25" spans="1:6" ht="15.75" thickBot="1" x14ac:dyDescent="0.3">
      <c r="A25" s="50"/>
      <c r="B25" s="50"/>
      <c r="C25" s="50"/>
    </row>
    <row r="26" spans="1:6" x14ac:dyDescent="0.25">
      <c r="A26" s="50"/>
      <c r="B26" s="50"/>
      <c r="C26" s="51"/>
      <c r="D26" s="60" t="s">
        <v>67</v>
      </c>
      <c r="E26" s="66">
        <f>F14*$F$18*$E$23+F14*$F$19*$E$24</f>
        <v>817523.01494867343</v>
      </c>
      <c r="F26" s="61" t="s">
        <v>73</v>
      </c>
    </row>
    <row r="27" spans="1:6" x14ac:dyDescent="0.25">
      <c r="A27" s="50"/>
      <c r="B27" s="50"/>
      <c r="C27" s="53"/>
      <c r="D27" s="62" t="s">
        <v>6</v>
      </c>
      <c r="E27" s="67">
        <f>F15*$F$18*$E$23+F15*$F$19*$E$24</f>
        <v>247978.94482433115</v>
      </c>
      <c r="F27" s="63" t="s">
        <v>73</v>
      </c>
    </row>
    <row r="28" spans="1:6" ht="15.75" thickBot="1" x14ac:dyDescent="0.3">
      <c r="A28" s="50"/>
      <c r="B28" s="50"/>
      <c r="C28" s="50"/>
      <c r="D28" s="64" t="s">
        <v>36</v>
      </c>
      <c r="E28" s="68">
        <f>E26+E27</f>
        <v>1065501.9597730045</v>
      </c>
      <c r="F28" s="65" t="s">
        <v>73</v>
      </c>
    </row>
    <row r="29" spans="1:6" x14ac:dyDescent="0.25">
      <c r="A29" s="50"/>
      <c r="B29" s="50"/>
      <c r="C29" s="52"/>
    </row>
    <row r="30" spans="1:6" x14ac:dyDescent="0.25">
      <c r="A30" s="50"/>
      <c r="B30" s="50"/>
      <c r="C30" s="52"/>
    </row>
    <row r="31" spans="1:6" x14ac:dyDescent="0.25">
      <c r="A31" s="50"/>
      <c r="B31" s="50"/>
      <c r="C31" s="50"/>
    </row>
    <row r="32" spans="1:6" x14ac:dyDescent="0.25">
      <c r="A32" s="50"/>
      <c r="B32" s="50"/>
      <c r="C32" s="52"/>
    </row>
    <row r="33" spans="1:3" x14ac:dyDescent="0.25">
      <c r="A33" s="50"/>
      <c r="B33" s="50"/>
      <c r="C33" s="52"/>
    </row>
    <row r="34" spans="1:3" x14ac:dyDescent="0.25">
      <c r="A34" s="50"/>
      <c r="B34" s="50"/>
      <c r="C34" s="50"/>
    </row>
    <row r="35" spans="1:3" x14ac:dyDescent="0.25">
      <c r="A35" s="50"/>
      <c r="B35" s="50"/>
      <c r="C35" s="52"/>
    </row>
  </sheetData>
  <pageMargins left="0.7" right="0.7" top="0.75" bottom="0.75" header="0.3" footer="0.3"/>
  <pageSetup orientation="portrait" r:id="rId1"/>
  <headerFooter>
    <oddHeader>&amp;RExh. MBR-1T Rogers WP2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230182-5D87-44B8-81F7-E45A7849A4E9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0A5EE63-2154-4C32-A979-A02461E29D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72325C-824E-4E69-B52A-9BAF12133F0D}"/>
</file>

<file path=customXml/itemProps4.xml><?xml version="1.0" encoding="utf-8"?>
<ds:datastoreItem xmlns:ds="http://schemas.openxmlformats.org/officeDocument/2006/customXml" ds:itemID="{3C4FD3C5-8C26-4D9C-AFA6-C8E662309D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Bourdo, Lora</dc:creator>
  <cp:lastModifiedBy>Lee-Pella, Erica N.</cp:lastModifiedBy>
  <dcterms:created xsi:type="dcterms:W3CDTF">2020-10-26T21:32:58Z</dcterms:created>
  <dcterms:modified xsi:type="dcterms:W3CDTF">2020-12-10T00:38:07Z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