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690" windowHeight="7290" tabRatio="731" firstSheet="1" activeTab="3"/>
  </bookViews>
  <sheets>
    <sheet name="Index" sheetId="1" r:id="rId1"/>
    <sheet name="WGJ-7" sheetId="2" r:id="rId2"/>
    <sheet name="WGJ-8" sheetId="3" r:id="rId3"/>
    <sheet name="WGJ-9" sheetId="4" r:id="rId4"/>
    <sheet name="Aurora" sheetId="5" r:id="rId5"/>
  </sheets>
  <definedNames>
    <definedName name="_xlnm.Print_Area" localSheetId="1">'WGJ-7'!$A$1:$F$131</definedName>
    <definedName name="_xlnm.Print_Area" localSheetId="2">'WGJ-8'!$A$1:$O$53</definedName>
    <definedName name="_xlnm.Print_Titles" localSheetId="1">'WGJ-7'!$1:$7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<sst xmlns="http://schemas.openxmlformats.org/spreadsheetml/2006/main" count="304" uniqueCount="250">
  <si>
    <t>Line</t>
  </si>
  <si>
    <t>No.</t>
  </si>
  <si>
    <t>Actuals</t>
  </si>
  <si>
    <t>Adjustment</t>
  </si>
  <si>
    <t>555 PURCHASED POWER</t>
  </si>
  <si>
    <t>Rocky Reach</t>
  </si>
  <si>
    <t>Wanapum</t>
  </si>
  <si>
    <t>Wells</t>
  </si>
  <si>
    <t>WNP-3</t>
  </si>
  <si>
    <t>Deer Lake-IP&amp;L</t>
  </si>
  <si>
    <t>Spokane-Upriver</t>
  </si>
  <si>
    <t>Total Account 555</t>
  </si>
  <si>
    <t xml:space="preserve"> </t>
  </si>
  <si>
    <t>565 TRANSMISSION OF ELECTRICITY BY OTHERS</t>
  </si>
  <si>
    <t>Garrison-Burke</t>
  </si>
  <si>
    <t>Total Account 565</t>
  </si>
  <si>
    <t>Broker Commission Fees</t>
  </si>
  <si>
    <t>Total Account 557</t>
  </si>
  <si>
    <t>536 WATER FOR POWER</t>
  </si>
  <si>
    <t>TOTAL EXPENSE</t>
  </si>
  <si>
    <t>447 SALES FOR RESALE</t>
  </si>
  <si>
    <t>Total Account 447</t>
  </si>
  <si>
    <t>456 OTHER ELECTRIC REVENUE</t>
  </si>
  <si>
    <t>Total Account 456</t>
  </si>
  <si>
    <t>TOTAL REVENUE</t>
  </si>
  <si>
    <t>Kettle Falls</t>
  </si>
  <si>
    <t>Total Account 501</t>
  </si>
  <si>
    <t>Colstrip</t>
  </si>
  <si>
    <t>BPA Townsend-Garrison Wheeling</t>
  </si>
  <si>
    <t>Upstream Storage Revenue</t>
  </si>
  <si>
    <t>Black Creek Wheeling</t>
  </si>
  <si>
    <t>557 OTHER EXPENSES</t>
  </si>
  <si>
    <t>453 SALES OF WATER AND WATER POWER</t>
  </si>
  <si>
    <t>Black Creek Index Purchase</t>
  </si>
  <si>
    <t>PGE Firm Wheeling</t>
  </si>
  <si>
    <t>Nichols Pumping Sale</t>
  </si>
  <si>
    <t>Pend Oreille DES &amp; Spinning</t>
  </si>
  <si>
    <t>Avista Corp.</t>
  </si>
  <si>
    <t>Total</t>
  </si>
  <si>
    <t>Colstrip MWh</t>
  </si>
  <si>
    <t>Colstrip Fuel Cost</t>
  </si>
  <si>
    <t>Kettle Falls MWh</t>
  </si>
  <si>
    <t>Kettle Falls Fuel Cost</t>
  </si>
  <si>
    <t>Rathdrum MWh</t>
  </si>
  <si>
    <t>Rathdrum Fuel Cost</t>
  </si>
  <si>
    <t>Total Fuel Expense</t>
  </si>
  <si>
    <t>Nichols Pumping</t>
  </si>
  <si>
    <t>Sales</t>
  </si>
  <si>
    <t>Northeast MWh</t>
  </si>
  <si>
    <t>Northeast Fuel Cost</t>
  </si>
  <si>
    <t>Total Account 547</t>
  </si>
  <si>
    <t>Rathdrum Municipal Payment</t>
  </si>
  <si>
    <t>Kettle Falls - Wood Fuel</t>
  </si>
  <si>
    <t>Colstrip - Coal</t>
  </si>
  <si>
    <t>Kettle Falls - Gas</t>
  </si>
  <si>
    <t>Colstip - Oil</t>
  </si>
  <si>
    <t>501 THERMAL FUEL EXPENSE</t>
  </si>
  <si>
    <t>547 OTHER FUEL EXPENSE</t>
  </si>
  <si>
    <t>549 MISC OTHER GENERATION EXPENSE</t>
  </si>
  <si>
    <t xml:space="preserve">Non-Monetary </t>
  </si>
  <si>
    <t>454 MISC RENTS</t>
  </si>
  <si>
    <t>Colstrip Rents</t>
  </si>
  <si>
    <t>$</t>
  </si>
  <si>
    <t>Secondary Sales - MWh</t>
  </si>
  <si>
    <t>Secondary Purchase - MWh</t>
  </si>
  <si>
    <t>Boulder Park Fuel Cost</t>
  </si>
  <si>
    <t>Boulder Park MWh</t>
  </si>
  <si>
    <t>Kettle Falls CT Fuel Cost</t>
  </si>
  <si>
    <t>Kettle Falls CT MWh</t>
  </si>
  <si>
    <t>Coyote Springs Gas</t>
  </si>
  <si>
    <t>Boulder Park Gas</t>
  </si>
  <si>
    <t>Kettle Falls CT Gas</t>
  </si>
  <si>
    <t>Northeast CT Gas</t>
  </si>
  <si>
    <t>Rathdrum  Gas</t>
  </si>
  <si>
    <t>Scenario 1</t>
  </si>
  <si>
    <t>ANNUAL</t>
  </si>
  <si>
    <t>GENERATION (GWh)</t>
  </si>
  <si>
    <t>Boulder Park</t>
  </si>
  <si>
    <t>Coyote Springs</t>
  </si>
  <si>
    <t>Kettle Falls CT</t>
  </si>
  <si>
    <t>Northeast</t>
  </si>
  <si>
    <t>Rathdrum</t>
  </si>
  <si>
    <t>FUEL COST ($000)</t>
  </si>
  <si>
    <t>MARKET (GWh)</t>
  </si>
  <si>
    <t>Market Purch</t>
  </si>
  <si>
    <t>Market Sale</t>
  </si>
  <si>
    <t>MARKET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</si>
  <si>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</si>
  <si>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</si>
  <si>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</si>
  <si>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</si>
  <si>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</si>
  <si>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</si>
  <si>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</si>
  <si>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</si>
  <si>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</si>
  <si>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</si>
  <si>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</si>
  <si>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</si>
  <si>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Coyote Springs Fuel Cost</t>
  </si>
  <si>
    <t>Net Fuel and Purchase Expense</t>
  </si>
  <si>
    <t>Coyote Springs  MWh</t>
  </si>
  <si>
    <t>(GWh)</t>
  </si>
  <si>
    <t>FUEL USE (MMBtu)</t>
  </si>
  <si>
    <t>NET POWER SUPPLY COST ($000)</t>
  </si>
  <si>
    <t>MWh</t>
  </si>
  <si>
    <t>Kootenai for Worley</t>
  </si>
  <si>
    <t>PTP for Colstrip &amp; Coyote</t>
  </si>
  <si>
    <t>Avista on BPA - Borderline</t>
  </si>
  <si>
    <t>Gas Not Consumed Sales Revenue</t>
  </si>
  <si>
    <t>Rathdrum Fuel Cost $/MWh</t>
  </si>
  <si>
    <t>Northeast Fuel Cost $/MWh</t>
  </si>
  <si>
    <t>Coyote Springs Fuel Cost  $/MWh</t>
  </si>
  <si>
    <t>Boulder Park Fuel Cost $/MWh</t>
  </si>
  <si>
    <t>Kettle Falls Fuel Cost $/MWh</t>
  </si>
  <si>
    <t>Colstrip Fuel Cost $/MWh</t>
  </si>
  <si>
    <t>Kettle Falls CT Fuel Cost $/MWh</t>
  </si>
  <si>
    <t>Headwater Benefits Payments</t>
  </si>
  <si>
    <t>Revenue</t>
  </si>
  <si>
    <t>Average Market Sales Price -$/ MWh</t>
  </si>
  <si>
    <t>Market Sales - Dollars</t>
  </si>
  <si>
    <t>Market Sales - MWh</t>
  </si>
  <si>
    <t>Market Purchases - Dollars</t>
  </si>
  <si>
    <t>Net Market Purchases (Sales) MWh</t>
  </si>
  <si>
    <t>Average Market Purchase Price - $/MWh</t>
  </si>
  <si>
    <t>Net Market Purchases (Sales) aMW</t>
  </si>
  <si>
    <t>Market Purchases - MWh</t>
  </si>
  <si>
    <t>Average Sale and Purchase Price - $/MWh</t>
  </si>
  <si>
    <t>Gas Transportation Charge</t>
  </si>
  <si>
    <t>Spokane Energy Service Fee - Peaker Sale</t>
  </si>
  <si>
    <t>Peaker (PGE) Capacity Sale</t>
  </si>
  <si>
    <t>Wheeling for System Sales &amp; Purchases</t>
  </si>
  <si>
    <t>normal $0</t>
  </si>
  <si>
    <t>Auth PCA Net Expense</t>
  </si>
  <si>
    <t>Comment</t>
  </si>
  <si>
    <t>Market Purchases and Sales, Plant Generation and Fuel Cost Summary</t>
  </si>
  <si>
    <t>modeled MWh x Midpoint</t>
  </si>
  <si>
    <t>Potlatch Co-Gen Purchase</t>
  </si>
  <si>
    <t>Purchases</t>
  </si>
  <si>
    <t>Contract C</t>
  </si>
  <si>
    <t>Contract D</t>
  </si>
  <si>
    <t>PPM Wind Purchase</t>
  </si>
  <si>
    <t>Sovereign/Kaiser DES</t>
  </si>
  <si>
    <t>Northwestern Load Following</t>
  </si>
  <si>
    <t>Douglas Settlement</t>
  </si>
  <si>
    <t>Grant Displacement</t>
  </si>
  <si>
    <t>modeled energy higher than actual</t>
  </si>
  <si>
    <t>no CS2.5 trans, in lieu in 555, 447</t>
  </si>
  <si>
    <t>index</t>
  </si>
  <si>
    <t>model</t>
  </si>
  <si>
    <t>only gas burned modeled</t>
  </si>
  <si>
    <t>exchange capacity not modeled</t>
  </si>
  <si>
    <t>modeled MWh x new contract rate</t>
  </si>
  <si>
    <t>Sagle-Northern Lights</t>
  </si>
  <si>
    <t>Jan 06 - Dec 06</t>
  </si>
  <si>
    <t>Proforma</t>
  </si>
  <si>
    <t>Current</t>
  </si>
  <si>
    <t>Authorized</t>
  </si>
  <si>
    <t>TRC Purpa Purchase</t>
  </si>
  <si>
    <t>thru Nov</t>
  </si>
  <si>
    <t>****LOAD NEW FLAT PRICES*****</t>
  </si>
  <si>
    <t>Contract A</t>
  </si>
  <si>
    <t>Contract B</t>
  </si>
  <si>
    <t>Small Power</t>
  </si>
  <si>
    <t>Modeled Electric Price</t>
  </si>
  <si>
    <t>Black Creek Expense</t>
  </si>
  <si>
    <t>Priest Rapids Meaningful Priority, MWh</t>
  </si>
  <si>
    <t>Priest Rapids Meaningful Priority Expense</t>
  </si>
  <si>
    <t>Reasonable Portion Revenue</t>
  </si>
  <si>
    <t>Net Meaningful Priority Cost</t>
  </si>
  <si>
    <t>Net Meaningful Priority Cost per MWh</t>
  </si>
  <si>
    <t>CS2 Exchange</t>
  </si>
  <si>
    <t>includes Mean Pri &amp; Reas Port</t>
  </si>
  <si>
    <t xml:space="preserve">  Meaningful Priority</t>
  </si>
  <si>
    <t xml:space="preserve">  Surplus Conversion</t>
  </si>
  <si>
    <t>Surplus Conversion Cost</t>
  </si>
  <si>
    <t>Surplus Conversion MWh</t>
  </si>
  <si>
    <t xml:space="preserve">  Avista Total Slice</t>
  </si>
  <si>
    <t>Power Supply Expense</t>
  </si>
  <si>
    <t>Transmission Expense</t>
  </si>
  <si>
    <t>Douglas Exchange Capacity</t>
  </si>
  <si>
    <t>Seattle Exchange Capacity</t>
  </si>
  <si>
    <t>Grant Transmission Losses</t>
  </si>
  <si>
    <t>BPA NT Deviation Energy</t>
  </si>
  <si>
    <t>Bankruptcy Write-Off</t>
  </si>
  <si>
    <t>Renewable Energy Credit Sales</t>
  </si>
  <si>
    <t>TOTAL NET EXPENSE</t>
  </si>
  <si>
    <t>SMUD Sale</t>
  </si>
  <si>
    <t>Ancillary Services</t>
  </si>
  <si>
    <t>Grant Transmission</t>
  </si>
  <si>
    <t>REC Purchases</t>
  </si>
  <si>
    <t>Total Adjustment Including Potlatch</t>
  </si>
  <si>
    <t>Potlatch Purchase Assigned to Idaho</t>
  </si>
  <si>
    <t>Broker Fees</t>
  </si>
  <si>
    <t>Total Power Supply Expense</t>
  </si>
  <si>
    <t>Account 447 - Sale for Resale</t>
  </si>
  <si>
    <t>Account 547 - Natrual Gas Fuel</t>
  </si>
  <si>
    <t>Account 501 - Thermal Fuel</t>
  </si>
  <si>
    <t>Transmission Revenue</t>
  </si>
  <si>
    <t>Account 555 - Purchased Power</t>
  </si>
  <si>
    <t>Jan 07 - Dec 07</t>
  </si>
  <si>
    <t>Stimson</t>
  </si>
  <si>
    <t>Jan 09 - Dec 09</t>
  </si>
  <si>
    <t>Jan - Oct</t>
  </si>
  <si>
    <t>BPA Spinning Reserve</t>
  </si>
  <si>
    <t>Priest Rapids Project, MWh</t>
  </si>
  <si>
    <t xml:space="preserve">  Grant's Share of Reasonable Portion Revenue</t>
  </si>
  <si>
    <t>Priest Rapids Project Cost</t>
  </si>
  <si>
    <t>Wanapum Total Cost</t>
  </si>
  <si>
    <t>Wanapum Total Generation, aMW</t>
  </si>
  <si>
    <t>Wanapum Total Cost per MWh</t>
  </si>
  <si>
    <t>Priest Rapids Total Generation, aMW</t>
  </si>
  <si>
    <t>Priest Rapids Total Generation, MWh</t>
  </si>
  <si>
    <t>Priest Rapids Total Cost</t>
  </si>
  <si>
    <t>Priest Rapids Total Cost per MWh</t>
  </si>
  <si>
    <t>Combined Total Cost per MWh</t>
  </si>
  <si>
    <t>Priest Rapids Project</t>
  </si>
  <si>
    <t>Market Price</t>
  </si>
  <si>
    <t>Surplus Conversion Cost per MWh</t>
  </si>
  <si>
    <t>Total Priest Rapids Product Cost</t>
  </si>
  <si>
    <t>Total Priest Rapids Product Cost per MWh</t>
  </si>
  <si>
    <t>Total Project Genration and Cost</t>
  </si>
  <si>
    <t>Rick?</t>
  </si>
  <si>
    <t>Sand Dunes-Warden</t>
  </si>
  <si>
    <t>Black Creek, MWh</t>
  </si>
  <si>
    <t>Modeled Short-Term Market Purchases</t>
  </si>
  <si>
    <t>Modeled Short-Term Market Sales</t>
  </si>
  <si>
    <t>NWestern Load Following Deviation Energy</t>
  </si>
  <si>
    <t>System Numbers - 2007 Actual and 2009 Pro forma</t>
  </si>
  <si>
    <t>Power Supply Pro forma - Washington Jurisdiction</t>
  </si>
  <si>
    <t>Pro forma</t>
  </si>
  <si>
    <t>Actual Short-Term Market Sales</t>
  </si>
  <si>
    <t>Natural Gas Fuel Purchases</t>
  </si>
  <si>
    <t>Avista Corp</t>
  </si>
  <si>
    <t>ERM Authorized Power Supply Expense and Retail Sales</t>
  </si>
  <si>
    <t xml:space="preserve">ERM Authorized Power Supply Expense </t>
  </si>
  <si>
    <t>ERM Authorized Washington Retail Sales</t>
  </si>
  <si>
    <t>Total Retail Sales, MWh</t>
  </si>
  <si>
    <t>Pro forma January 2009 - December 2009</t>
  </si>
  <si>
    <t>Washington Pro forma January 2009 - December 2009</t>
  </si>
  <si>
    <t>42a</t>
  </si>
  <si>
    <t>Actual Gas Purchase Mark to Market</t>
  </si>
  <si>
    <t>Actual Short-Term Purchases - Physical</t>
  </si>
  <si>
    <t>2a</t>
  </si>
  <si>
    <t>Actual ST Purchases - Financial Mark to Market</t>
  </si>
  <si>
    <t>Filed Number</t>
  </si>
  <si>
    <t>Increase</t>
  </si>
  <si>
    <t>Actual ST Sales - Financial Mark to Market</t>
  </si>
  <si>
    <t>66a</t>
  </si>
  <si>
    <t>7-16-08 Update for Gas Prices and Actual Transactions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</si>
</sst>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  <numFmt numFmtId="165" formatCode="#,##0\ ;\(#,##0\)"/>
    <numFmt numFmtId="166" formatCode="0.0000"/>
    <numFmt numFmtId="167" formatCode="0.0"/>
    <numFmt numFmtId="168" formatCode="&quot;$&quot;#,##0"/>
    <numFmt numFmtId="169" formatCode="&quot;$&quot;#,##0.0"/>
    <numFmt numFmtId="170" formatCode="&quot;$&quot;#,##0.00"/>
    <numFmt numFmtId="171" formatCode="0.000"/>
    <numFmt numFmtId="172" formatCode="#,##0.0_);[Red]\(#,##0.0\)"/>
    <numFmt numFmtId="173" formatCode="#,##0.0"/>
    <numFmt numFmtId="174" formatCode="&quot;$&quot;#,##0.000\ ;\(&quot;$&quot;#,##0.00\)"/>
    <numFmt numFmtId="175" formatCode="#,##0.000"/>
    <numFmt numFmtId="176" formatCode="&quot; &quot;"/>
    <numFmt numFmtId="177" formatCode="&quot;$&quot;#,##0.000"/>
    <numFmt numFmtId="178" formatCode="&quot;$&quot;#,##0.0000"/>
    <numFmt numFmtId="179" formatCode="&quot;$&quot;#,##0.00000"/>
    <numFmt numFmtId="180" formatCode="&quot;$&quot;#,##0.0_);\(&quot;$&quot;#,##0.0\)"/>
    <numFmt numFmtId="181" formatCode="&quot;$&quot;#,##0.000_);\(&quot;$&quot;#,##0.000\)"/>
    <numFmt numFmtId="182" formatCode="&quot;$&quot;#,##0.0000_);\(&quot;$&quot;#,##0.0000\)"/>
    <numFmt numFmtId="183" formatCode="#,##0.000_);[Red]\(#,##0.000\)"/>
    <numFmt numFmtId="184" formatCode="#,##0.0000_);[Red]\(#,##0.0000\)"/>
    <numFmt numFmtId="185" formatCode="&quot;$&quot;#,##0.0_);[Red]\(&quot;$&quot;#,##0.0\)"/>
    <numFmt numFmtId="186" formatCode="0.0%"/>
    <numFmt numFmtId="187" formatCode="m/d"/>
    <numFmt numFmtId="188" formatCode="0.000000"/>
    <numFmt numFmtId="189" formatCode="0.00000"/>
    <numFmt numFmtId="190" formatCode="&quot;$&quot;#,##0\ "/>
    <numFmt numFmtId="191" formatCode="&quot;$&quot;#,##0.000000"/>
    <numFmt numFmtId="192" formatCode="_(&quot;$&quot;* #,##0_);_(&quot;$&quot;* \(#,##0\);_(&quot;$&quot;* &quot;-&quot;??_);_(@_)"/>
    <numFmt numFmtId="193" formatCode="_(* #,##0_);_(* \(#,##0\);_(* &quot;-&quot;??_);_(@_)"/>
    <numFmt numFmtId="194" formatCode="0_);\(0\)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9"/>
      <name val="Geneva"/>
      <family val="0"/>
    </font>
    <font>
      <sz val="8"/>
      <name val="Geneva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Geneva"/>
      <family val="0"/>
    </font>
    <font>
      <b/>
      <u val="single"/>
      <sz val="10"/>
      <name val="Geneva"/>
      <family val="0"/>
    </font>
    <font>
      <sz val="10"/>
      <color indexed="8"/>
      <name val="Arial"/>
      <family val="0"/>
    </font>
    <font>
      <b/>
      <sz val="12"/>
      <name val="Geneva"/>
      <family val="0"/>
    </font>
    <font>
      <b/>
      <i/>
      <sz val="10"/>
      <color indexed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6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0" xfId="0" applyNumberFormat="1" applyAlignment="1">
      <alignment/>
    </xf>
    <xf numFmtId="165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170" fontId="0" fillId="0" borderId="4" xfId="0" applyNumberFormat="1" applyBorder="1" applyAlignment="1">
      <alignment horizontal="center"/>
    </xf>
    <xf numFmtId="170" fontId="0" fillId="0" borderId="0" xfId="0" applyNumberFormat="1" applyAlignment="1">
      <alignment/>
    </xf>
    <xf numFmtId="168" fontId="1" fillId="0" borderId="3" xfId="0" applyNumberFormat="1" applyFont="1" applyBorder="1" applyAlignment="1">
      <alignment horizontal="center"/>
    </xf>
    <xf numFmtId="5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5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7" fontId="0" fillId="0" borderId="1" xfId="0" applyNumberFormat="1" applyBorder="1" applyAlignment="1">
      <alignment/>
    </xf>
    <xf numFmtId="17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0" fontId="0" fillId="0" borderId="8" xfId="0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72" fontId="8" fillId="0" borderId="9" xfId="0" applyNumberFormat="1" applyFont="1" applyBorder="1" applyAlignment="1">
      <alignment/>
    </xf>
    <xf numFmtId="172" fontId="0" fillId="0" borderId="9" xfId="0" applyNumberFormat="1" applyBorder="1" applyAlignment="1">
      <alignment/>
    </xf>
    <xf numFmtId="172" fontId="7" fillId="0" borderId="9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9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8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172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0" fontId="0" fillId="0" borderId="10" xfId="0" applyNumberFormat="1" applyBorder="1" applyAlignment="1">
      <alignment horizontal="center"/>
    </xf>
    <xf numFmtId="172" fontId="9" fillId="0" borderId="0" xfId="0" applyNumberFormat="1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170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170" fontId="1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right"/>
    </xf>
    <xf numFmtId="5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73" fontId="0" fillId="0" borderId="0" xfId="0" applyNumberForma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6" xfId="0" applyNumberFormat="1" applyBorder="1" applyAlignment="1">
      <alignment/>
    </xf>
    <xf numFmtId="37" fontId="0" fillId="0" borderId="0" xfId="0" applyNumberFormat="1" applyAlignment="1">
      <alignment/>
    </xf>
    <xf numFmtId="170" fontId="0" fillId="2" borderId="0" xfId="15" applyNumberFormat="1" applyFill="1" applyAlignment="1">
      <alignment/>
    </xf>
    <xf numFmtId="168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21" applyNumberFormat="1" applyBorder="1" applyAlignment="1">
      <alignment horizontal="center"/>
    </xf>
    <xf numFmtId="168" fontId="0" fillId="3" borderId="0" xfId="0" applyNumberFormat="1" applyFont="1" applyFill="1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center"/>
    </xf>
    <xf numFmtId="168" fontId="0" fillId="3" borderId="4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right"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4" fillId="4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9" fontId="0" fillId="2" borderId="0" xfId="21" applyNumberFormat="1" applyFill="1" applyBorder="1" applyAlignment="1">
      <alignment horizontal="center"/>
    </xf>
    <xf numFmtId="168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17" fontId="4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left"/>
    </xf>
    <xf numFmtId="9" fontId="0" fillId="0" borderId="0" xfId="21" applyAlignment="1">
      <alignment/>
    </xf>
    <xf numFmtId="173" fontId="0" fillId="0" borderId="4" xfId="0" applyNumberFormat="1" applyBorder="1" applyAlignment="1">
      <alignment horizontal="center"/>
    </xf>
    <xf numFmtId="0" fontId="16" fillId="0" borderId="0" xfId="0" applyFont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17" fontId="4" fillId="4" borderId="0" xfId="0" applyNumberFormat="1" applyFont="1" applyFill="1" applyAlignment="1">
      <alignment horizontal="center"/>
    </xf>
    <xf numFmtId="0" fontId="0" fillId="4" borderId="11" xfId="0" applyFill="1" applyBorder="1" applyAlignment="1">
      <alignment/>
    </xf>
    <xf numFmtId="3" fontId="0" fillId="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3" fontId="0" fillId="4" borderId="14" xfId="0" applyNumberFormat="1" applyFill="1" applyBorder="1" applyAlignment="1">
      <alignment/>
    </xf>
    <xf numFmtId="0" fontId="0" fillId="4" borderId="15" xfId="0" applyFill="1" applyBorder="1" applyAlignment="1">
      <alignment/>
    </xf>
    <xf numFmtId="3" fontId="0" fillId="4" borderId="16" xfId="0" applyNumberFormat="1" applyFill="1" applyBorder="1" applyAlignment="1">
      <alignment/>
    </xf>
    <xf numFmtId="0" fontId="17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workbookViewId="0" topLeftCell="A1">
      <selection activeCell="M19" sqref="M19"/>
    </sheetView>
  </sheetViews>
  <sheetFormatPr defaultColWidth="9.00390625" defaultRowHeight="12.75"/>
  <cols>
    <col min="1" max="1" width="6.875" style="0" customWidth="1"/>
    <col min="2" max="2" width="36.875" style="0" customWidth="1"/>
    <col min="3" max="3" width="13.75390625" style="0" customWidth="1"/>
    <col min="4" max="10" width="10.75390625" style="0" customWidth="1"/>
    <col min="11" max="11" width="11.875" style="0" customWidth="1"/>
    <col min="12" max="15" width="10.75390625" style="0" customWidth="1"/>
  </cols>
  <sheetData>
    <row r="3" ht="12.75">
      <c r="D3" s="2" t="s">
        <v>160</v>
      </c>
    </row>
    <row r="6" spans="3:15" ht="12.75">
      <c r="C6" s="40">
        <f>SUM(D6:O6)</f>
        <v>8760</v>
      </c>
      <c r="D6" s="50">
        <f>'WGJ-8'!D6</f>
        <v>744</v>
      </c>
      <c r="E6" s="50">
        <v>672</v>
      </c>
      <c r="F6" s="50">
        <v>743</v>
      </c>
      <c r="G6" s="50">
        <v>720</v>
      </c>
      <c r="H6" s="50">
        <f>'WGJ-8'!H6</f>
        <v>744</v>
      </c>
      <c r="I6" s="50">
        <f>'WGJ-8'!I6</f>
        <v>720</v>
      </c>
      <c r="J6" s="50">
        <f>'WGJ-8'!J6</f>
        <v>744</v>
      </c>
      <c r="K6" s="50">
        <f>'WGJ-8'!K6</f>
        <v>744</v>
      </c>
      <c r="L6" s="50">
        <f>'WGJ-8'!L6</f>
        <v>720</v>
      </c>
      <c r="M6" s="50">
        <v>744</v>
      </c>
      <c r="N6" s="50">
        <v>721</v>
      </c>
      <c r="O6" s="50">
        <f>'WGJ-8'!O6</f>
        <v>744</v>
      </c>
    </row>
    <row r="7" spans="3:15" ht="12.75">
      <c r="C7" s="54" t="s">
        <v>38</v>
      </c>
      <c r="D7" s="51">
        <v>38356</v>
      </c>
      <c r="E7" s="51">
        <v>38387</v>
      </c>
      <c r="F7" s="51">
        <v>38415</v>
      </c>
      <c r="G7" s="51">
        <v>38446</v>
      </c>
      <c r="H7" s="51">
        <v>38476</v>
      </c>
      <c r="I7" s="51">
        <v>38507</v>
      </c>
      <c r="J7" s="51">
        <v>38537</v>
      </c>
      <c r="K7" s="51">
        <v>38568</v>
      </c>
      <c r="L7" s="51">
        <v>38599</v>
      </c>
      <c r="M7" s="51">
        <v>38629</v>
      </c>
      <c r="N7" s="51">
        <v>38660</v>
      </c>
      <c r="O7" s="51">
        <v>38690</v>
      </c>
    </row>
    <row r="8" spans="3:15" ht="12.75">
      <c r="C8" s="80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2.75">
      <c r="A9" s="2" t="s">
        <v>164</v>
      </c>
      <c r="C9" s="31">
        <f>SUMPRODUCT(D6:O6,D9:O9)/C6</f>
        <v>64.31534280067602</v>
      </c>
      <c r="D9" s="106">
        <v>68.60520107269286</v>
      </c>
      <c r="E9" s="106">
        <v>74.10095962524414</v>
      </c>
      <c r="F9" s="106">
        <v>69.13523487091065</v>
      </c>
      <c r="G9" s="106">
        <v>57.70371925354004</v>
      </c>
      <c r="H9" s="106">
        <v>51.67564109802245</v>
      </c>
      <c r="I9" s="106">
        <v>45.08642508506775</v>
      </c>
      <c r="J9" s="106">
        <v>63.68014804840088</v>
      </c>
      <c r="K9" s="106">
        <v>71.63877723693848</v>
      </c>
      <c r="L9" s="106">
        <v>67.76575653076172</v>
      </c>
      <c r="M9" s="106">
        <v>64.30150451660157</v>
      </c>
      <c r="N9" s="106">
        <v>69.90515686035157</v>
      </c>
      <c r="O9" s="106">
        <v>68.58960414886475</v>
      </c>
    </row>
    <row r="10" spans="3:15" ht="12.75">
      <c r="C10" s="30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3" ht="12.75">
      <c r="A11" s="2" t="s">
        <v>47</v>
      </c>
      <c r="C11" s="30"/>
    </row>
    <row r="12" spans="2:3" ht="12.75">
      <c r="B12" t="s">
        <v>46</v>
      </c>
      <c r="C12" s="30"/>
    </row>
    <row r="13" spans="2:15" ht="12.75">
      <c r="B13" t="s">
        <v>105</v>
      </c>
      <c r="C13" s="29">
        <f>SUM(D13:O13)</f>
        <v>67890</v>
      </c>
      <c r="D13" s="3">
        <v>5766</v>
      </c>
      <c r="E13" s="3">
        <v>5208</v>
      </c>
      <c r="F13" s="3">
        <v>5766</v>
      </c>
      <c r="G13" s="3">
        <v>5580</v>
      </c>
      <c r="H13" s="3">
        <v>5766</v>
      </c>
      <c r="I13" s="3">
        <v>5580</v>
      </c>
      <c r="J13" s="3">
        <v>5766</v>
      </c>
      <c r="K13" s="3">
        <v>5766</v>
      </c>
      <c r="L13" s="3">
        <v>5580</v>
      </c>
      <c r="M13" s="3">
        <v>5766</v>
      </c>
      <c r="N13" s="3">
        <v>5580</v>
      </c>
      <c r="O13" s="3">
        <v>5766</v>
      </c>
    </row>
    <row r="14" spans="2:15" ht="12.75">
      <c r="B14" t="s">
        <v>118</v>
      </c>
      <c r="C14" s="116">
        <f>SUM(D14:O14)</f>
        <v>4227188.1558424765</v>
      </c>
      <c r="D14" s="27">
        <f>(D9-2.05)*D13</f>
        <v>383757.28938514704</v>
      </c>
      <c r="E14" s="27">
        <f aca="true" t="shared" si="0" ref="E14:O14">(E9-2.05)*E13</f>
        <v>375241.3977282715</v>
      </c>
      <c r="F14" s="27">
        <f t="shared" si="0"/>
        <v>386813.4642656708</v>
      </c>
      <c r="G14" s="27">
        <f t="shared" si="0"/>
        <v>310547.7534347534</v>
      </c>
      <c r="H14" s="27">
        <f t="shared" si="0"/>
        <v>286141.4465711975</v>
      </c>
      <c r="I14" s="27">
        <f t="shared" si="0"/>
        <v>240143.25197467807</v>
      </c>
      <c r="J14" s="27">
        <f t="shared" si="0"/>
        <v>355359.4336470795</v>
      </c>
      <c r="K14" s="27">
        <f t="shared" si="0"/>
        <v>401248.8895481873</v>
      </c>
      <c r="L14" s="27">
        <f t="shared" si="0"/>
        <v>366693.9214416504</v>
      </c>
      <c r="M14" s="27">
        <f t="shared" si="0"/>
        <v>358942.17504272464</v>
      </c>
      <c r="N14" s="27">
        <f t="shared" si="0"/>
        <v>378631.77528076177</v>
      </c>
      <c r="O14" s="27">
        <f t="shared" si="0"/>
        <v>383667.35752235417</v>
      </c>
    </row>
    <row r="15" ht="12.75">
      <c r="C15" s="30"/>
    </row>
    <row r="17" ht="12.75">
      <c r="A17" s="2" t="s">
        <v>138</v>
      </c>
    </row>
    <row r="18" spans="2:13" ht="12.75">
      <c r="B18" t="s">
        <v>224</v>
      </c>
      <c r="M18" s="3">
        <v>3720</v>
      </c>
    </row>
    <row r="19" spans="2:13" ht="12.75">
      <c r="B19" t="s">
        <v>165</v>
      </c>
      <c r="C19" s="115">
        <f>SUM(D19:O19)</f>
        <v>209441.59680175784</v>
      </c>
      <c r="K19" s="32"/>
      <c r="L19" s="32"/>
      <c r="M19" s="27">
        <f>(M9-8)*M18</f>
        <v>209441.59680175784</v>
      </c>
    </row>
    <row r="20" spans="3:13" ht="12.75">
      <c r="C20" s="122"/>
      <c r="K20" s="32"/>
      <c r="L20" s="32"/>
      <c r="M20" s="27"/>
    </row>
    <row r="21" spans="3:13" ht="12.75">
      <c r="C21" s="122"/>
      <c r="K21" s="32"/>
      <c r="L21" s="32"/>
      <c r="M21" s="27"/>
    </row>
    <row r="22" spans="1:15" ht="12.75">
      <c r="A22" s="2" t="s">
        <v>216</v>
      </c>
      <c r="C22" s="122"/>
      <c r="D22" s="127" t="s">
        <v>87</v>
      </c>
      <c r="E22" s="127" t="s">
        <v>88</v>
      </c>
      <c r="F22" s="127" t="s">
        <v>89</v>
      </c>
      <c r="G22" s="127" t="s">
        <v>90</v>
      </c>
      <c r="H22" s="127" t="s">
        <v>91</v>
      </c>
      <c r="I22" s="127" t="s">
        <v>92</v>
      </c>
      <c r="J22" s="127" t="s">
        <v>93</v>
      </c>
      <c r="K22" s="127" t="s">
        <v>94</v>
      </c>
      <c r="L22" s="127" t="s">
        <v>95</v>
      </c>
      <c r="M22" s="127" t="s">
        <v>96</v>
      </c>
      <c r="N22" s="127" t="s">
        <v>97</v>
      </c>
      <c r="O22" s="127" t="s">
        <v>98</v>
      </c>
    </row>
    <row r="23" spans="1:13" ht="12.75">
      <c r="A23" s="2"/>
      <c r="C23" s="122"/>
      <c r="K23" s="32"/>
      <c r="L23" s="32"/>
      <c r="M23" s="27"/>
    </row>
    <row r="24" spans="2:15" ht="12.75">
      <c r="B24" t="s">
        <v>217</v>
      </c>
      <c r="C24" s="122"/>
      <c r="D24" s="106">
        <f>D9</f>
        <v>68.60520107269286</v>
      </c>
      <c r="E24" s="106">
        <f aca="true" t="shared" si="1" ref="E24:O24">E9</f>
        <v>74.10095962524414</v>
      </c>
      <c r="F24" s="106">
        <f t="shared" si="1"/>
        <v>69.13523487091065</v>
      </c>
      <c r="G24" s="106">
        <f t="shared" si="1"/>
        <v>57.70371925354004</v>
      </c>
      <c r="H24" s="106">
        <f t="shared" si="1"/>
        <v>51.67564109802245</v>
      </c>
      <c r="I24" s="106">
        <f t="shared" si="1"/>
        <v>45.08642508506775</v>
      </c>
      <c r="J24" s="106">
        <f t="shared" si="1"/>
        <v>63.68014804840088</v>
      </c>
      <c r="K24" s="106">
        <f t="shared" si="1"/>
        <v>71.63877723693848</v>
      </c>
      <c r="L24" s="106">
        <f t="shared" si="1"/>
        <v>67.76575653076172</v>
      </c>
      <c r="M24" s="106">
        <f t="shared" si="1"/>
        <v>64.30150451660157</v>
      </c>
      <c r="N24" s="106">
        <f t="shared" si="1"/>
        <v>69.90515686035157</v>
      </c>
      <c r="O24" s="106">
        <f t="shared" si="1"/>
        <v>68.58960414886475</v>
      </c>
    </row>
    <row r="25" spans="11:13" ht="12.75">
      <c r="K25" s="32"/>
      <c r="L25" s="32"/>
      <c r="M25" s="27"/>
    </row>
    <row r="26" spans="2:15" ht="12.75">
      <c r="B26" t="s">
        <v>205</v>
      </c>
      <c r="C26" s="108">
        <f>SUM(D26:O26)</f>
        <v>155901.53373325893</v>
      </c>
      <c r="D26" s="3">
        <v>15871.797596958706</v>
      </c>
      <c r="E26" s="3">
        <v>11915.675916399274</v>
      </c>
      <c r="F26" s="3">
        <v>10453.633340890066</v>
      </c>
      <c r="G26" s="3">
        <v>8955.433368355887</v>
      </c>
      <c r="H26" s="3">
        <v>6768.473121425083</v>
      </c>
      <c r="I26" s="3">
        <v>9260.321418980191</v>
      </c>
      <c r="J26" s="3">
        <v>10569.711302839007</v>
      </c>
      <c r="K26" s="3">
        <v>10284.14994768415</v>
      </c>
      <c r="L26" s="3">
        <v>8889.61594063895</v>
      </c>
      <c r="M26" s="3">
        <v>10337.287892368862</v>
      </c>
      <c r="N26" s="3">
        <v>23952.646554129464</v>
      </c>
      <c r="O26" s="3">
        <v>28642.787332589283</v>
      </c>
    </row>
    <row r="27" spans="2:15" ht="12.75">
      <c r="B27" t="s">
        <v>173</v>
      </c>
      <c r="C27" s="109"/>
      <c r="D27" s="109">
        <v>0.0287</v>
      </c>
      <c r="E27" s="109">
        <v>0.0287</v>
      </c>
      <c r="F27" s="109">
        <v>0.0287</v>
      </c>
      <c r="G27" s="109">
        <v>0.0287</v>
      </c>
      <c r="H27" s="109">
        <v>0.0287</v>
      </c>
      <c r="I27" s="109">
        <v>0.0287</v>
      </c>
      <c r="J27" s="109">
        <v>0.0287</v>
      </c>
      <c r="K27" s="109">
        <v>0.0287</v>
      </c>
      <c r="L27" s="109">
        <v>0.0287</v>
      </c>
      <c r="M27" s="109">
        <v>0.0287</v>
      </c>
      <c r="N27" s="109">
        <v>0.033</v>
      </c>
      <c r="O27" s="109">
        <v>0.033</v>
      </c>
    </row>
    <row r="28" spans="2:15" ht="12.75">
      <c r="B28" t="s">
        <v>174</v>
      </c>
      <c r="C28" s="109"/>
      <c r="D28" s="109">
        <v>0.0041</v>
      </c>
      <c r="E28" s="109">
        <v>0.0041</v>
      </c>
      <c r="F28" s="109">
        <v>0.0041</v>
      </c>
      <c r="G28" s="109">
        <v>0.0041</v>
      </c>
      <c r="H28" s="109">
        <v>0.0041</v>
      </c>
      <c r="I28" s="109">
        <v>0.0041</v>
      </c>
      <c r="J28" s="109">
        <v>0.0041</v>
      </c>
      <c r="K28" s="109">
        <v>0.0041</v>
      </c>
      <c r="L28" s="109">
        <v>0.0041</v>
      </c>
      <c r="M28" s="109">
        <v>0.0041</v>
      </c>
      <c r="N28" s="109">
        <v>0.0049</v>
      </c>
      <c r="O28" s="109">
        <v>0.0049</v>
      </c>
    </row>
    <row r="29" spans="2:15" ht="12.75">
      <c r="B29" t="s">
        <v>177</v>
      </c>
      <c r="C29" s="109"/>
      <c r="D29" s="109">
        <f>SUM(D27:D28)</f>
        <v>0.0328</v>
      </c>
      <c r="E29" s="109">
        <f aca="true" t="shared" si="2" ref="E29:O29">SUM(E27:E28)</f>
        <v>0.0328</v>
      </c>
      <c r="F29" s="109">
        <f t="shared" si="2"/>
        <v>0.0328</v>
      </c>
      <c r="G29" s="109">
        <f t="shared" si="2"/>
        <v>0.0328</v>
      </c>
      <c r="H29" s="109">
        <f t="shared" si="2"/>
        <v>0.0328</v>
      </c>
      <c r="I29" s="109">
        <f t="shared" si="2"/>
        <v>0.0328</v>
      </c>
      <c r="J29" s="109">
        <f t="shared" si="2"/>
        <v>0.0328</v>
      </c>
      <c r="K29" s="109">
        <f t="shared" si="2"/>
        <v>0.0328</v>
      </c>
      <c r="L29" s="109">
        <f t="shared" si="2"/>
        <v>0.0328</v>
      </c>
      <c r="M29" s="109">
        <f t="shared" si="2"/>
        <v>0.0328</v>
      </c>
      <c r="N29" s="109">
        <f t="shared" si="2"/>
        <v>0.0379</v>
      </c>
      <c r="O29" s="109">
        <f t="shared" si="2"/>
        <v>0.0379</v>
      </c>
    </row>
    <row r="30" spans="2:15" ht="12.75">
      <c r="B30" t="s">
        <v>206</v>
      </c>
      <c r="C30" s="109"/>
      <c r="D30" s="124">
        <v>1</v>
      </c>
      <c r="E30" s="124">
        <v>1</v>
      </c>
      <c r="F30" s="124">
        <v>1</v>
      </c>
      <c r="G30" s="124">
        <v>1</v>
      </c>
      <c r="H30" s="124">
        <v>1</v>
      </c>
      <c r="I30" s="124">
        <v>1</v>
      </c>
      <c r="J30" s="124">
        <v>1</v>
      </c>
      <c r="K30" s="124">
        <v>1</v>
      </c>
      <c r="L30" s="124">
        <v>1</v>
      </c>
      <c r="M30" s="124">
        <v>1</v>
      </c>
      <c r="N30" s="124">
        <v>0.5</v>
      </c>
      <c r="O30" s="124">
        <v>0.5</v>
      </c>
    </row>
    <row r="31" ht="12.75">
      <c r="C31" s="108"/>
    </row>
    <row r="32" spans="2:15" ht="12.75">
      <c r="B32" t="s">
        <v>166</v>
      </c>
      <c r="C32" s="108">
        <f>SUM(D32:O32)</f>
        <v>136188.33388977853</v>
      </c>
      <c r="D32" s="3">
        <f>D26*(D27/D29)</f>
        <v>13887.822897338867</v>
      </c>
      <c r="E32" s="3">
        <f aca="true" t="shared" si="3" ref="E32:O32">E26*(E27/E29)</f>
        <v>10426.216426849363</v>
      </c>
      <c r="F32" s="3">
        <f t="shared" si="3"/>
        <v>9146.929173278806</v>
      </c>
      <c r="G32" s="3">
        <f t="shared" si="3"/>
        <v>7836.0041973114</v>
      </c>
      <c r="H32" s="3">
        <f t="shared" si="3"/>
        <v>5922.4139812469475</v>
      </c>
      <c r="I32" s="3">
        <f t="shared" si="3"/>
        <v>8102.781241607666</v>
      </c>
      <c r="J32" s="3">
        <f t="shared" si="3"/>
        <v>9248.49738998413</v>
      </c>
      <c r="K32" s="3">
        <f t="shared" si="3"/>
        <v>8998.631204223631</v>
      </c>
      <c r="L32" s="3">
        <f t="shared" si="3"/>
        <v>7778.413948059081</v>
      </c>
      <c r="M32" s="3">
        <f t="shared" si="3"/>
        <v>9045.126905822754</v>
      </c>
      <c r="N32" s="3">
        <f t="shared" si="3"/>
        <v>20855.866392777632</v>
      </c>
      <c r="O32" s="3">
        <f t="shared" si="3"/>
        <v>24939.630131278267</v>
      </c>
    </row>
    <row r="33" spans="2:15" ht="12.75">
      <c r="B33" t="s">
        <v>167</v>
      </c>
      <c r="C33" s="107">
        <f>SUM(D33:O33)</f>
        <v>8992135.15024956</v>
      </c>
      <c r="D33" s="27">
        <f aca="true" t="shared" si="4" ref="D33:O33">D9*D32</f>
        <v>952776.882333881</v>
      </c>
      <c r="E33" s="27">
        <f t="shared" si="4"/>
        <v>772592.642490022</v>
      </c>
      <c r="F33" s="27">
        <f t="shared" si="4"/>
        <v>632375.0967422149</v>
      </c>
      <c r="G33" s="27">
        <f t="shared" si="4"/>
        <v>452166.5862712184</v>
      </c>
      <c r="H33" s="27">
        <f t="shared" si="4"/>
        <v>306044.5393288275</v>
      </c>
      <c r="I33" s="27">
        <f t="shared" si="4"/>
        <v>365325.4394304363</v>
      </c>
      <c r="J33" s="27">
        <f t="shared" si="4"/>
        <v>588945.6830194385</v>
      </c>
      <c r="K33" s="27">
        <f t="shared" si="4"/>
        <v>644650.9362767402</v>
      </c>
      <c r="L33" s="27">
        <f t="shared" si="4"/>
        <v>527110.1057996528</v>
      </c>
      <c r="M33" s="27">
        <f t="shared" si="4"/>
        <v>581615.2685879961</v>
      </c>
      <c r="N33" s="27">
        <f t="shared" si="4"/>
        <v>1457932.611645655</v>
      </c>
      <c r="O33" s="27">
        <f t="shared" si="4"/>
        <v>1710599.3583234763</v>
      </c>
    </row>
    <row r="34" ht="12.75">
      <c r="D34" s="27"/>
    </row>
    <row r="35" spans="2:15" ht="12.75">
      <c r="B35" t="s">
        <v>168</v>
      </c>
      <c r="C35" s="107">
        <f>SUM(D35:O35)</f>
        <v>1148133.2182849108</v>
      </c>
      <c r="D35" s="27">
        <f aca="true" t="shared" si="5" ref="D35:O35">(D32*(1-D30))*(D9-D42)</f>
        <v>0</v>
      </c>
      <c r="E35" s="27">
        <f t="shared" si="5"/>
        <v>0</v>
      </c>
      <c r="F35" s="27">
        <f t="shared" si="5"/>
        <v>0</v>
      </c>
      <c r="G35" s="27">
        <f t="shared" si="5"/>
        <v>0</v>
      </c>
      <c r="H35" s="27">
        <f t="shared" si="5"/>
        <v>0</v>
      </c>
      <c r="I35" s="27">
        <f t="shared" si="5"/>
        <v>0</v>
      </c>
      <c r="J35" s="27">
        <f t="shared" si="5"/>
        <v>0</v>
      </c>
      <c r="K35" s="27">
        <f t="shared" si="5"/>
        <v>0</v>
      </c>
      <c r="L35" s="27">
        <f t="shared" si="5"/>
        <v>0</v>
      </c>
      <c r="M35" s="27">
        <f t="shared" si="5"/>
        <v>0</v>
      </c>
      <c r="N35" s="27">
        <f t="shared" si="5"/>
        <v>530345.7557208658</v>
      </c>
      <c r="O35" s="27">
        <f t="shared" si="5"/>
        <v>617787.462564045</v>
      </c>
    </row>
    <row r="37" spans="2:15" ht="12.75">
      <c r="B37" t="s">
        <v>169</v>
      </c>
      <c r="C37" s="110">
        <f>SUM(D37:O37)</f>
        <v>7844001.931964647</v>
      </c>
      <c r="D37" s="27">
        <f>D33-D35</f>
        <v>952776.882333881</v>
      </c>
      <c r="E37" s="27">
        <f aca="true" t="shared" si="6" ref="E37:O37">E33-E35</f>
        <v>772592.642490022</v>
      </c>
      <c r="F37" s="27">
        <f t="shared" si="6"/>
        <v>632375.0967422149</v>
      </c>
      <c r="G37" s="27">
        <f t="shared" si="6"/>
        <v>452166.5862712184</v>
      </c>
      <c r="H37" s="27">
        <f t="shared" si="6"/>
        <v>306044.5393288275</v>
      </c>
      <c r="I37" s="27">
        <f t="shared" si="6"/>
        <v>365325.4394304363</v>
      </c>
      <c r="J37" s="27">
        <f t="shared" si="6"/>
        <v>588945.6830194385</v>
      </c>
      <c r="K37" s="27">
        <f t="shared" si="6"/>
        <v>644650.9362767402</v>
      </c>
      <c r="L37" s="27">
        <f t="shared" si="6"/>
        <v>527110.1057996528</v>
      </c>
      <c r="M37" s="27">
        <f t="shared" si="6"/>
        <v>581615.2685879961</v>
      </c>
      <c r="N37" s="27">
        <f t="shared" si="6"/>
        <v>927586.8559247892</v>
      </c>
      <c r="O37" s="27">
        <f t="shared" si="6"/>
        <v>1092811.8957594312</v>
      </c>
    </row>
    <row r="38" spans="2:15" ht="12.75">
      <c r="B38" t="s">
        <v>170</v>
      </c>
      <c r="C38" s="128">
        <f aca="true" t="shared" si="7" ref="C38:O38">C37/C32</f>
        <v>57.59672438839763</v>
      </c>
      <c r="D38" s="32">
        <f t="shared" si="7"/>
        <v>68.60520107269286</v>
      </c>
      <c r="E38" s="32">
        <f t="shared" si="7"/>
        <v>74.10095962524414</v>
      </c>
      <c r="F38" s="32">
        <f t="shared" si="7"/>
        <v>69.13523487091065</v>
      </c>
      <c r="G38" s="32">
        <f t="shared" si="7"/>
        <v>57.70371925354004</v>
      </c>
      <c r="H38" s="32">
        <f t="shared" si="7"/>
        <v>51.67564109802245</v>
      </c>
      <c r="I38" s="32">
        <f t="shared" si="7"/>
        <v>45.08642508506775</v>
      </c>
      <c r="J38" s="32">
        <f t="shared" si="7"/>
        <v>63.68014804840088</v>
      </c>
      <c r="K38" s="32">
        <f t="shared" si="7"/>
        <v>71.63877723693848</v>
      </c>
      <c r="L38" s="32">
        <f t="shared" si="7"/>
        <v>67.76575653076172</v>
      </c>
      <c r="M38" s="32">
        <f t="shared" si="7"/>
        <v>64.30150451660157</v>
      </c>
      <c r="N38" s="32">
        <f t="shared" si="7"/>
        <v>44.47606435789269</v>
      </c>
      <c r="O38" s="32">
        <f t="shared" si="7"/>
        <v>43.81828800214928</v>
      </c>
    </row>
    <row r="41" spans="2:15" ht="12.75">
      <c r="B41" t="s">
        <v>176</v>
      </c>
      <c r="C41" s="108">
        <f>SUM(D41:O41)</f>
        <v>19713.199843480368</v>
      </c>
      <c r="D41" s="3">
        <f>D26*(D28/D29)</f>
        <v>1983.9746996198382</v>
      </c>
      <c r="E41" s="3">
        <f aca="true" t="shared" si="8" ref="E41:O41">E26*(E28/E29)</f>
        <v>1489.4594895499092</v>
      </c>
      <c r="F41" s="3">
        <f t="shared" si="8"/>
        <v>1306.7041676112583</v>
      </c>
      <c r="G41" s="3">
        <f t="shared" si="8"/>
        <v>1119.4291710444859</v>
      </c>
      <c r="H41" s="3">
        <f t="shared" si="8"/>
        <v>846.0591401781354</v>
      </c>
      <c r="I41" s="3">
        <f t="shared" si="8"/>
        <v>1157.5401773725239</v>
      </c>
      <c r="J41" s="3">
        <f t="shared" si="8"/>
        <v>1321.2139128548758</v>
      </c>
      <c r="K41" s="3">
        <f t="shared" si="8"/>
        <v>1285.5187434605189</v>
      </c>
      <c r="L41" s="3">
        <f t="shared" si="8"/>
        <v>1111.2019925798688</v>
      </c>
      <c r="M41" s="3">
        <f t="shared" si="8"/>
        <v>1292.1609865461078</v>
      </c>
      <c r="N41" s="3">
        <f t="shared" si="8"/>
        <v>3096.78016135183</v>
      </c>
      <c r="O41" s="3">
        <f t="shared" si="8"/>
        <v>3703.1572013110153</v>
      </c>
    </row>
    <row r="42" spans="2:15" ht="12.75">
      <c r="B42" t="s">
        <v>207</v>
      </c>
      <c r="D42" s="126">
        <f>$C58</f>
        <v>18.031826658601986</v>
      </c>
      <c r="E42" s="126">
        <f aca="true" t="shared" si="9" ref="E42:M42">$C58</f>
        <v>18.031826658601986</v>
      </c>
      <c r="F42" s="126">
        <f t="shared" si="9"/>
        <v>18.031826658601986</v>
      </c>
      <c r="G42" s="126">
        <f t="shared" si="9"/>
        <v>18.031826658601986</v>
      </c>
      <c r="H42" s="126">
        <f t="shared" si="9"/>
        <v>18.031826658601986</v>
      </c>
      <c r="I42" s="126">
        <f t="shared" si="9"/>
        <v>18.031826658601986</v>
      </c>
      <c r="J42" s="126">
        <f t="shared" si="9"/>
        <v>18.031826658601986</v>
      </c>
      <c r="K42" s="126">
        <f t="shared" si="9"/>
        <v>18.031826658601986</v>
      </c>
      <c r="L42" s="126">
        <f t="shared" si="9"/>
        <v>18.031826658601986</v>
      </c>
      <c r="M42" s="126">
        <f t="shared" si="9"/>
        <v>18.031826658601986</v>
      </c>
      <c r="N42" s="126">
        <f>$C60</f>
        <v>19.046971855433807</v>
      </c>
      <c r="O42" s="126">
        <f>$C60</f>
        <v>19.046971855433807</v>
      </c>
    </row>
    <row r="43" spans="2:15" ht="12.75">
      <c r="B43" t="s">
        <v>175</v>
      </c>
      <c r="C43" s="111">
        <f>SUM(D43:O43)</f>
        <v>362367.9262164822</v>
      </c>
      <c r="D43" s="27">
        <f>D41*D42</f>
        <v>35774.687878596866</v>
      </c>
      <c r="E43" s="27">
        <f aca="true" t="shared" si="10" ref="E43:O43">E41*E42</f>
        <v>26857.67533057376</v>
      </c>
      <c r="F43" s="27">
        <f t="shared" si="10"/>
        <v>23562.263044439005</v>
      </c>
      <c r="G43" s="27">
        <f t="shared" si="10"/>
        <v>20185.352768856683</v>
      </c>
      <c r="H43" s="27">
        <f t="shared" si="10"/>
        <v>15255.991758617976</v>
      </c>
      <c r="I43" s="27">
        <f t="shared" si="10"/>
        <v>20872.56382874875</v>
      </c>
      <c r="J43" s="27">
        <f t="shared" si="10"/>
        <v>23823.90025553239</v>
      </c>
      <c r="K43" s="27">
        <f t="shared" si="10"/>
        <v>23180.25114846391</v>
      </c>
      <c r="L43" s="27">
        <f t="shared" si="10"/>
        <v>20037.001712893325</v>
      </c>
      <c r="M43" s="27">
        <f t="shared" si="10"/>
        <v>23300.02292440755</v>
      </c>
      <c r="N43" s="27">
        <f t="shared" si="10"/>
        <v>58984.28457573407</v>
      </c>
      <c r="O43" s="27">
        <f t="shared" si="10"/>
        <v>70533.93098961793</v>
      </c>
    </row>
    <row r="44" spans="2:15" ht="12.75">
      <c r="B44" t="s">
        <v>218</v>
      </c>
      <c r="C44" s="128">
        <f>C43/C41</f>
        <v>18.381994252258647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4:15" ht="12.7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5" ht="12.75">
      <c r="B46" t="s">
        <v>219</v>
      </c>
      <c r="C46" s="123">
        <f>C37+C43</f>
        <v>8206369.858181129</v>
      </c>
      <c r="D46" s="27">
        <f>D37+D43</f>
        <v>988551.5702124778</v>
      </c>
      <c r="E46" s="27">
        <f aca="true" t="shared" si="11" ref="E46:O46">E37+E43</f>
        <v>799450.3178205958</v>
      </c>
      <c r="F46" s="27">
        <f t="shared" si="11"/>
        <v>655937.3597866539</v>
      </c>
      <c r="G46" s="27">
        <f t="shared" si="11"/>
        <v>472351.93904007506</v>
      </c>
      <c r="H46" s="27">
        <f t="shared" si="11"/>
        <v>321300.5310874455</v>
      </c>
      <c r="I46" s="27">
        <f t="shared" si="11"/>
        <v>386198.00325918506</v>
      </c>
      <c r="J46" s="27">
        <f t="shared" si="11"/>
        <v>612769.5832749709</v>
      </c>
      <c r="K46" s="27">
        <f t="shared" si="11"/>
        <v>667831.1874252041</v>
      </c>
      <c r="L46" s="27">
        <f t="shared" si="11"/>
        <v>547147.1075125461</v>
      </c>
      <c r="M46" s="27">
        <f t="shared" si="11"/>
        <v>604915.2915124036</v>
      </c>
      <c r="N46" s="27">
        <f t="shared" si="11"/>
        <v>986571.1405005233</v>
      </c>
      <c r="O46" s="27">
        <f t="shared" si="11"/>
        <v>1163345.8267490491</v>
      </c>
    </row>
    <row r="47" spans="2:3" ht="12.75">
      <c r="B47" t="s">
        <v>220</v>
      </c>
      <c r="C47" s="128">
        <f>C46/C26</f>
        <v>52.638159879952745</v>
      </c>
    </row>
    <row r="49" ht="12.75">
      <c r="B49" s="2" t="s">
        <v>221</v>
      </c>
    </row>
    <row r="50" spans="2:15" ht="12.75">
      <c r="B50" t="s">
        <v>209</v>
      </c>
      <c r="D50" s="60">
        <v>581.7073170731708</v>
      </c>
      <c r="E50" s="60">
        <v>491.46341463414626</v>
      </c>
      <c r="F50" s="60">
        <v>420.73170731707313</v>
      </c>
      <c r="G50" s="60">
        <v>491.46341463414626</v>
      </c>
      <c r="H50" s="60">
        <v>578.0487804878048</v>
      </c>
      <c r="I50" s="60">
        <v>636.5853658536586</v>
      </c>
      <c r="J50" s="60">
        <v>559.7560975609756</v>
      </c>
      <c r="K50" s="60">
        <v>331.7073170731707</v>
      </c>
      <c r="L50" s="60">
        <v>324.390243902439</v>
      </c>
      <c r="M50" s="60">
        <v>373.1707317073171</v>
      </c>
      <c r="N50" s="60">
        <v>413.4146341463414</v>
      </c>
      <c r="O50" s="60">
        <v>482.9268292682927</v>
      </c>
    </row>
    <row r="51" spans="2:15" ht="12.75">
      <c r="B51" t="s">
        <v>209</v>
      </c>
      <c r="C51" s="122">
        <f>SUM(D51:O51)</f>
        <v>4149739.0243902435</v>
      </c>
      <c r="D51" s="60">
        <f aca="true" t="shared" si="12" ref="D51:O51">D6*D50</f>
        <v>432790.2439024391</v>
      </c>
      <c r="E51" s="60">
        <f t="shared" si="12"/>
        <v>330263.41463414626</v>
      </c>
      <c r="F51" s="60">
        <f t="shared" si="12"/>
        <v>312603.65853658534</v>
      </c>
      <c r="G51" s="60">
        <f t="shared" si="12"/>
        <v>353853.6585365853</v>
      </c>
      <c r="H51" s="60">
        <f t="shared" si="12"/>
        <v>430068.2926829268</v>
      </c>
      <c r="I51" s="60">
        <f t="shared" si="12"/>
        <v>458341.46341463417</v>
      </c>
      <c r="J51" s="60">
        <f t="shared" si="12"/>
        <v>416458.53658536583</v>
      </c>
      <c r="K51" s="60">
        <f t="shared" si="12"/>
        <v>246790.24390243902</v>
      </c>
      <c r="L51" s="60">
        <f t="shared" si="12"/>
        <v>233560.97560975607</v>
      </c>
      <c r="M51" s="60">
        <f t="shared" si="12"/>
        <v>277639.0243902439</v>
      </c>
      <c r="N51" s="60">
        <f t="shared" si="12"/>
        <v>298071.95121951215</v>
      </c>
      <c r="O51" s="60">
        <f t="shared" si="12"/>
        <v>359297.56097560975</v>
      </c>
    </row>
    <row r="52" spans="2:3" ht="12.75">
      <c r="B52" t="s">
        <v>208</v>
      </c>
      <c r="C52" s="125">
        <v>82951000</v>
      </c>
    </row>
    <row r="53" spans="2:3" ht="12.75">
      <c r="B53" t="s">
        <v>210</v>
      </c>
      <c r="C53" s="32">
        <f>C52/C51</f>
        <v>19.989449821411046</v>
      </c>
    </row>
    <row r="55" spans="2:15" ht="12.75">
      <c r="B55" t="s">
        <v>211</v>
      </c>
      <c r="D55" s="60">
        <v>645.4545454545455</v>
      </c>
      <c r="E55" s="60">
        <v>536.3636363636363</v>
      </c>
      <c r="F55" s="60">
        <v>427.27272727272725</v>
      </c>
      <c r="G55" s="60">
        <v>375.75757575757575</v>
      </c>
      <c r="H55" s="60">
        <v>275.75757575757575</v>
      </c>
      <c r="I55" s="60">
        <v>390.9090909090909</v>
      </c>
      <c r="J55" s="60">
        <v>430.30303030303025</v>
      </c>
      <c r="K55" s="60">
        <v>418.1818181818182</v>
      </c>
      <c r="L55" s="60">
        <v>372.72727272727275</v>
      </c>
      <c r="M55" s="60">
        <v>421.2121212121212</v>
      </c>
      <c r="N55" s="60">
        <v>460.60606060606057</v>
      </c>
      <c r="O55" s="60">
        <v>527.2727272727273</v>
      </c>
    </row>
    <row r="56" spans="2:15" ht="12.75">
      <c r="B56" t="s">
        <v>212</v>
      </c>
      <c r="C56" s="122">
        <f>SUM(D56:O56)</f>
        <v>3852687.8787878784</v>
      </c>
      <c r="D56" s="60">
        <f aca="true" t="shared" si="13" ref="D56:O56">D6*D55</f>
        <v>480218.1818181818</v>
      </c>
      <c r="E56" s="60">
        <f t="shared" si="13"/>
        <v>360436.3636363636</v>
      </c>
      <c r="F56" s="60">
        <f t="shared" si="13"/>
        <v>317463.63636363635</v>
      </c>
      <c r="G56" s="60">
        <f t="shared" si="13"/>
        <v>270545.45454545453</v>
      </c>
      <c r="H56" s="60">
        <f t="shared" si="13"/>
        <v>205163.63636363635</v>
      </c>
      <c r="I56" s="60">
        <f t="shared" si="13"/>
        <v>281454.5454545454</v>
      </c>
      <c r="J56" s="60">
        <f t="shared" si="13"/>
        <v>320145.45454545453</v>
      </c>
      <c r="K56" s="60">
        <f t="shared" si="13"/>
        <v>311127.2727272727</v>
      </c>
      <c r="L56" s="60">
        <f t="shared" si="13"/>
        <v>268363.63636363635</v>
      </c>
      <c r="M56" s="60">
        <f t="shared" si="13"/>
        <v>313381.8181818182</v>
      </c>
      <c r="N56" s="60">
        <f t="shared" si="13"/>
        <v>332096.96969696967</v>
      </c>
      <c r="O56" s="60">
        <f t="shared" si="13"/>
        <v>392290.90909090906</v>
      </c>
    </row>
    <row r="57" spans="2:3" ht="12.75">
      <c r="B57" t="s">
        <v>213</v>
      </c>
      <c r="C57" s="125">
        <v>69471000</v>
      </c>
    </row>
    <row r="58" spans="2:3" ht="12.75">
      <c r="B58" t="s">
        <v>214</v>
      </c>
      <c r="C58" s="32">
        <f>C57/C56</f>
        <v>18.031826658601986</v>
      </c>
    </row>
    <row r="60" spans="2:3" ht="12.75">
      <c r="B60" t="s">
        <v>215</v>
      </c>
      <c r="C60" s="32">
        <f>(C57+C52)/(C51+C56)</f>
        <v>19.046971855433807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0"/>
  <sheetViews>
    <sheetView zoomScaleSheetLayoutView="115" workbookViewId="0" topLeftCell="A2">
      <pane xSplit="10485" ySplit="2160" topLeftCell="J81" activePane="bottomLeft" state="split"/>
      <selection pane="topLeft" activeCell="B113" sqref="B113"/>
      <selection pane="topRight" activeCell="B113" sqref="B113"/>
      <selection pane="bottomLeft" activeCell="B82" sqref="B82"/>
      <selection pane="bottomRight" activeCell="B113" sqref="B113"/>
    </sheetView>
  </sheetViews>
  <sheetFormatPr defaultColWidth="9.00390625" defaultRowHeight="12.75"/>
  <cols>
    <col min="1" max="1" width="6.125" style="4" customWidth="1"/>
    <col min="2" max="2" width="35.625" style="0" customWidth="1"/>
    <col min="3" max="3" width="9.00390625" style="0" customWidth="1"/>
    <col min="4" max="4" width="15.25390625" style="0" customWidth="1"/>
    <col min="5" max="5" width="13.00390625" style="0" customWidth="1"/>
    <col min="6" max="6" width="14.25390625" style="3" customWidth="1"/>
    <col min="7" max="7" width="13.125" style="3" customWidth="1"/>
    <col min="8" max="8" width="14.75390625" style="3" hidden="1" customWidth="1"/>
    <col min="9" max="9" width="31.625" style="20" customWidth="1"/>
    <col min="10" max="10" width="15.875" style="0" customWidth="1"/>
    <col min="11" max="11" width="12.00390625" style="0" customWidth="1"/>
    <col min="12" max="16384" width="11.375" style="0" customWidth="1"/>
  </cols>
  <sheetData>
    <row r="1" spans="1:9" ht="12.75">
      <c r="A1" s="8"/>
      <c r="B1" s="8"/>
      <c r="D1" s="14" t="s">
        <v>37</v>
      </c>
      <c r="F1"/>
      <c r="G1"/>
      <c r="H1"/>
      <c r="I1"/>
    </row>
    <row r="2" spans="1:9" ht="12.75">
      <c r="A2" s="8"/>
      <c r="B2" s="8"/>
      <c r="D2" s="14" t="s">
        <v>229</v>
      </c>
      <c r="F2"/>
      <c r="G2"/>
      <c r="H2"/>
      <c r="I2"/>
    </row>
    <row r="3" spans="1:9" ht="12.75">
      <c r="A3" s="10"/>
      <c r="B3" s="8"/>
      <c r="D3" s="14" t="s">
        <v>228</v>
      </c>
      <c r="F3"/>
      <c r="G3"/>
      <c r="H3"/>
      <c r="I3" s="76"/>
    </row>
    <row r="4" spans="1:9" ht="12.75">
      <c r="A4" s="10"/>
      <c r="D4" s="143" t="s">
        <v>249</v>
      </c>
      <c r="E4" s="2"/>
      <c r="F4"/>
      <c r="G4"/>
      <c r="H4" s="5" t="s">
        <v>156</v>
      </c>
      <c r="I4" s="76"/>
    </row>
    <row r="5" spans="1:22" ht="12.75" customHeight="1">
      <c r="A5" s="5"/>
      <c r="D5" s="11"/>
      <c r="E5" s="11"/>
      <c r="F5" s="11"/>
      <c r="G5" s="11"/>
      <c r="H5" s="11" t="s">
        <v>157</v>
      </c>
      <c r="I5" s="89"/>
      <c r="K5">
        <v>744</v>
      </c>
      <c r="L5">
        <v>672</v>
      </c>
      <c r="M5">
        <v>744</v>
      </c>
      <c r="N5">
        <v>719</v>
      </c>
      <c r="O5">
        <v>744</v>
      </c>
      <c r="P5">
        <v>720</v>
      </c>
      <c r="Q5">
        <v>744</v>
      </c>
      <c r="R5">
        <v>744</v>
      </c>
      <c r="S5">
        <v>720</v>
      </c>
      <c r="T5">
        <v>745</v>
      </c>
      <c r="U5">
        <v>720</v>
      </c>
      <c r="V5">
        <v>744</v>
      </c>
    </row>
    <row r="6" spans="1:9" ht="12.75">
      <c r="A6" s="5" t="s">
        <v>0</v>
      </c>
      <c r="D6" s="57" t="s">
        <v>200</v>
      </c>
      <c r="E6" s="11"/>
      <c r="F6" s="57" t="s">
        <v>202</v>
      </c>
      <c r="G6" s="57"/>
      <c r="H6" s="57" t="s">
        <v>154</v>
      </c>
      <c r="I6" s="90"/>
    </row>
    <row r="7" spans="1:22" ht="12.75">
      <c r="A7" s="49" t="s">
        <v>1</v>
      </c>
      <c r="D7" s="15" t="s">
        <v>2</v>
      </c>
      <c r="E7" s="1" t="s">
        <v>3</v>
      </c>
      <c r="F7" s="15" t="s">
        <v>230</v>
      </c>
      <c r="G7" s="15"/>
      <c r="H7" s="15" t="s">
        <v>155</v>
      </c>
      <c r="I7" s="93" t="s">
        <v>134</v>
      </c>
      <c r="J7" s="85" t="s">
        <v>38</v>
      </c>
      <c r="K7" s="51">
        <v>38352</v>
      </c>
      <c r="L7" s="51">
        <v>38383</v>
      </c>
      <c r="M7" s="51">
        <v>38411</v>
      </c>
      <c r="N7" s="51">
        <v>38442</v>
      </c>
      <c r="O7" s="51">
        <v>38472</v>
      </c>
      <c r="P7" s="51">
        <v>38503</v>
      </c>
      <c r="Q7" s="51">
        <v>38533</v>
      </c>
      <c r="R7" s="51">
        <v>38564</v>
      </c>
      <c r="S7" s="51">
        <v>38595</v>
      </c>
      <c r="T7" s="51">
        <v>38625</v>
      </c>
      <c r="U7" s="51">
        <v>38656</v>
      </c>
      <c r="V7" s="51">
        <v>38686</v>
      </c>
    </row>
    <row r="8" spans="1:9" ht="12.75">
      <c r="A8" s="5"/>
      <c r="B8" s="7" t="s">
        <v>4</v>
      </c>
      <c r="D8" s="9"/>
      <c r="E8" s="12"/>
      <c r="F8" s="9"/>
      <c r="G8" s="9"/>
      <c r="H8" s="9"/>
      <c r="I8" s="19"/>
    </row>
    <row r="9" spans="1:22" ht="12.75">
      <c r="A9" s="5">
        <f aca="true" t="shared" si="0" ref="A9:A16">A8+1</f>
        <v>1</v>
      </c>
      <c r="B9" t="s">
        <v>225</v>
      </c>
      <c r="D9" s="18">
        <v>0</v>
      </c>
      <c r="E9" s="18">
        <f aca="true" t="shared" si="1" ref="E9:E15">F9-D9</f>
        <v>84588.20961348056</v>
      </c>
      <c r="F9" s="18">
        <f>'WGJ-8'!C13/1000</f>
        <v>84588.20961348056</v>
      </c>
      <c r="G9" s="18"/>
      <c r="H9" s="18">
        <v>20917.01898142919</v>
      </c>
      <c r="I9" s="101" t="s">
        <v>149</v>
      </c>
      <c r="J9" s="3">
        <f>SUM(K9:V9)/1000</f>
        <v>84588.20961348056</v>
      </c>
      <c r="K9" s="60">
        <f>'WGJ-8'!D13</f>
        <v>16872676.728515625</v>
      </c>
      <c r="L9" s="60">
        <f>'WGJ-8'!E13</f>
        <v>10069874.51171875</v>
      </c>
      <c r="M9" s="60">
        <f>'WGJ-8'!F13</f>
        <v>10297634.860839844</v>
      </c>
      <c r="N9" s="60">
        <f>'WGJ-8'!G13</f>
        <v>2732114.345436096</v>
      </c>
      <c r="O9" s="60">
        <f>'WGJ-8'!H13</f>
        <v>767461.2027978897</v>
      </c>
      <c r="P9" s="60">
        <f>'WGJ-8'!I13</f>
        <v>1023338.4841918945</v>
      </c>
      <c r="Q9" s="60">
        <f>'WGJ-8'!J13</f>
        <v>3479623.648071289</v>
      </c>
      <c r="R9" s="60">
        <f>'WGJ-8'!K13</f>
        <v>7323975.5810546875</v>
      </c>
      <c r="S9" s="60">
        <f>'WGJ-8'!L13</f>
        <v>7918350.60546875</v>
      </c>
      <c r="T9" s="60">
        <f>'WGJ-8'!M13</f>
        <v>9216497.138671875</v>
      </c>
      <c r="U9" s="60">
        <f>'WGJ-8'!N13</f>
        <v>6876223.6865234375</v>
      </c>
      <c r="V9" s="60">
        <f>'WGJ-8'!O13</f>
        <v>8010438.82019043</v>
      </c>
    </row>
    <row r="10" spans="1:22" ht="12.75">
      <c r="A10" s="5">
        <f t="shared" si="0"/>
        <v>2</v>
      </c>
      <c r="B10" t="s">
        <v>242</v>
      </c>
      <c r="D10" s="19">
        <v>94024</v>
      </c>
      <c r="E10" s="19">
        <f t="shared" si="1"/>
        <v>-73737</v>
      </c>
      <c r="F10" s="19">
        <v>20287</v>
      </c>
      <c r="G10" s="18"/>
      <c r="H10" s="18"/>
      <c r="I10" s="101"/>
      <c r="J10" s="144">
        <f>SUM(K10:V10)/1000</f>
        <v>20287.12875</v>
      </c>
      <c r="K10" s="145">
        <v>6007170</v>
      </c>
      <c r="L10" s="60">
        <v>5480520</v>
      </c>
      <c r="M10" s="60">
        <v>6002798.75</v>
      </c>
      <c r="N10" s="60">
        <v>0</v>
      </c>
      <c r="O10" s="60">
        <v>0</v>
      </c>
      <c r="P10" s="60">
        <v>0</v>
      </c>
      <c r="Q10" s="60">
        <v>944320</v>
      </c>
      <c r="R10" s="60">
        <v>944320</v>
      </c>
      <c r="S10" s="60">
        <v>908000</v>
      </c>
      <c r="T10" s="60">
        <v>0</v>
      </c>
      <c r="U10" s="60">
        <v>0</v>
      </c>
      <c r="V10" s="60">
        <v>0</v>
      </c>
    </row>
    <row r="11" spans="1:22" ht="12.75">
      <c r="A11" s="5" t="s">
        <v>243</v>
      </c>
      <c r="B11" t="s">
        <v>244</v>
      </c>
      <c r="D11" s="19">
        <v>0</v>
      </c>
      <c r="E11" s="19">
        <f t="shared" si="1"/>
        <v>1181</v>
      </c>
      <c r="F11" s="19">
        <v>1181</v>
      </c>
      <c r="G11" s="18"/>
      <c r="H11" s="18"/>
      <c r="I11" s="101"/>
      <c r="J11" s="144">
        <f>SUM(K11:V11)/1000</f>
        <v>1181.19025</v>
      </c>
      <c r="K11" s="145">
        <v>407014</v>
      </c>
      <c r="L11" s="60">
        <v>367704</v>
      </c>
      <c r="M11" s="60">
        <v>406472.25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</row>
    <row r="12" spans="1:22" ht="12.75">
      <c r="A12" s="5">
        <f>A10+1</f>
        <v>3</v>
      </c>
      <c r="B12" t="s">
        <v>5</v>
      </c>
      <c r="D12" s="19">
        <v>2181</v>
      </c>
      <c r="E12" s="19">
        <f t="shared" si="1"/>
        <v>119</v>
      </c>
      <c r="F12" s="97">
        <v>2300</v>
      </c>
      <c r="G12" s="22"/>
      <c r="H12" s="22">
        <v>1916</v>
      </c>
      <c r="I12" s="19"/>
      <c r="J12" s="3">
        <f>SUM(K12:V12)/1000</f>
        <v>2300</v>
      </c>
      <c r="K12" s="59">
        <f>$F12/12*1000</f>
        <v>191666.66666666666</v>
      </c>
      <c r="L12" s="59">
        <f aca="true" t="shared" si="2" ref="L12:V12">$F12/12*1000</f>
        <v>191666.66666666666</v>
      </c>
      <c r="M12" s="59">
        <f t="shared" si="2"/>
        <v>191666.66666666666</v>
      </c>
      <c r="N12" s="59">
        <f t="shared" si="2"/>
        <v>191666.66666666666</v>
      </c>
      <c r="O12" s="59">
        <f t="shared" si="2"/>
        <v>191666.66666666666</v>
      </c>
      <c r="P12" s="59">
        <f t="shared" si="2"/>
        <v>191666.66666666666</v>
      </c>
      <c r="Q12" s="59">
        <f t="shared" si="2"/>
        <v>191666.66666666666</v>
      </c>
      <c r="R12" s="59">
        <f t="shared" si="2"/>
        <v>191666.66666666666</v>
      </c>
      <c r="S12" s="59">
        <f t="shared" si="2"/>
        <v>191666.66666666666</v>
      </c>
      <c r="T12" s="59">
        <f t="shared" si="2"/>
        <v>191666.66666666666</v>
      </c>
      <c r="U12" s="59">
        <f t="shared" si="2"/>
        <v>191666.66666666666</v>
      </c>
      <c r="V12" s="59">
        <f t="shared" si="2"/>
        <v>191666.66666666666</v>
      </c>
    </row>
    <row r="13" spans="1:22" ht="12.75">
      <c r="A13" s="5">
        <f t="shared" si="0"/>
        <v>4</v>
      </c>
      <c r="B13" t="s">
        <v>6</v>
      </c>
      <c r="D13" s="19">
        <v>4430</v>
      </c>
      <c r="E13" s="19">
        <f t="shared" si="1"/>
        <v>1238</v>
      </c>
      <c r="F13" s="19">
        <v>5668</v>
      </c>
      <c r="G13" s="100" t="s">
        <v>203</v>
      </c>
      <c r="H13" s="19">
        <v>3534</v>
      </c>
      <c r="I13" s="19"/>
      <c r="J13" s="3">
        <f aca="true" t="shared" si="3" ref="J13:J40">SUM(K13:V13)/1000</f>
        <v>5667.999999999999</v>
      </c>
      <c r="K13" s="59">
        <f>$F13/12*1000</f>
        <v>472333.3333333333</v>
      </c>
      <c r="L13" s="59">
        <f aca="true" t="shared" si="4" ref="L13:V13">$F13/12*1000</f>
        <v>472333.3333333333</v>
      </c>
      <c r="M13" s="59">
        <f t="shared" si="4"/>
        <v>472333.3333333333</v>
      </c>
      <c r="N13" s="59">
        <f t="shared" si="4"/>
        <v>472333.3333333333</v>
      </c>
      <c r="O13" s="59">
        <f t="shared" si="4"/>
        <v>472333.3333333333</v>
      </c>
      <c r="P13" s="59">
        <f t="shared" si="4"/>
        <v>472333.3333333333</v>
      </c>
      <c r="Q13" s="59">
        <f t="shared" si="4"/>
        <v>472333.3333333333</v>
      </c>
      <c r="R13" s="59">
        <f t="shared" si="4"/>
        <v>472333.3333333333</v>
      </c>
      <c r="S13" s="59">
        <f t="shared" si="4"/>
        <v>472333.3333333333</v>
      </c>
      <c r="T13" s="59">
        <f t="shared" si="4"/>
        <v>472333.3333333333</v>
      </c>
      <c r="U13" s="59">
        <f t="shared" si="4"/>
        <v>472333.3333333333</v>
      </c>
      <c r="V13" s="59">
        <f t="shared" si="4"/>
        <v>472333.3333333333</v>
      </c>
    </row>
    <row r="14" spans="1:22" ht="12.75">
      <c r="A14" s="5">
        <f t="shared" si="0"/>
        <v>5</v>
      </c>
      <c r="B14" t="s">
        <v>7</v>
      </c>
      <c r="D14" s="19">
        <v>1275</v>
      </c>
      <c r="E14" s="19">
        <f t="shared" si="1"/>
        <v>78</v>
      </c>
      <c r="F14" s="97">
        <v>1353</v>
      </c>
      <c r="G14" s="22"/>
      <c r="H14" s="22">
        <v>1177</v>
      </c>
      <c r="I14" s="19"/>
      <c r="J14" s="3">
        <f>SUM(K14:V14)/1000</f>
        <v>1353</v>
      </c>
      <c r="K14" s="59">
        <f aca="true" t="shared" si="5" ref="K14:V14">$F14/12*1000</f>
        <v>112750</v>
      </c>
      <c r="L14" s="59">
        <f t="shared" si="5"/>
        <v>112750</v>
      </c>
      <c r="M14" s="59">
        <f t="shared" si="5"/>
        <v>112750</v>
      </c>
      <c r="N14" s="59">
        <f t="shared" si="5"/>
        <v>112750</v>
      </c>
      <c r="O14" s="59">
        <f t="shared" si="5"/>
        <v>112750</v>
      </c>
      <c r="P14" s="59">
        <f t="shared" si="5"/>
        <v>112750</v>
      </c>
      <c r="Q14" s="59">
        <f t="shared" si="5"/>
        <v>112750</v>
      </c>
      <c r="R14" s="59">
        <f t="shared" si="5"/>
        <v>112750</v>
      </c>
      <c r="S14" s="59">
        <f t="shared" si="5"/>
        <v>112750</v>
      </c>
      <c r="T14" s="59">
        <f t="shared" si="5"/>
        <v>112750</v>
      </c>
      <c r="U14" s="59">
        <f t="shared" si="5"/>
        <v>112750</v>
      </c>
      <c r="V14" s="59">
        <f t="shared" si="5"/>
        <v>112750</v>
      </c>
    </row>
    <row r="15" spans="1:22" ht="12.75">
      <c r="A15" s="5">
        <f t="shared" si="0"/>
        <v>6</v>
      </c>
      <c r="B15" t="s">
        <v>216</v>
      </c>
      <c r="D15" s="19">
        <v>3924</v>
      </c>
      <c r="E15" s="19">
        <f t="shared" si="1"/>
        <v>4282.3698581811295</v>
      </c>
      <c r="F15" s="95">
        <f>Index!C46/1000</f>
        <v>8206.36985818113</v>
      </c>
      <c r="G15" s="100" t="s">
        <v>148</v>
      </c>
      <c r="H15" s="19">
        <v>0</v>
      </c>
      <c r="I15" s="100" t="s">
        <v>172</v>
      </c>
      <c r="J15" s="3">
        <f t="shared" si="3"/>
        <v>8206.36985818113</v>
      </c>
      <c r="K15" s="59">
        <f>Index!D46</f>
        <v>988551.5702124778</v>
      </c>
      <c r="L15" s="59">
        <f>Index!E46</f>
        <v>799450.3178205958</v>
      </c>
      <c r="M15" s="59">
        <f>Index!F46</f>
        <v>655937.3597866539</v>
      </c>
      <c r="N15" s="59">
        <f>Index!G46</f>
        <v>472351.93904007506</v>
      </c>
      <c r="O15" s="59">
        <f>Index!H46</f>
        <v>321300.5310874455</v>
      </c>
      <c r="P15" s="59">
        <f>Index!I46</f>
        <v>386198.00325918506</v>
      </c>
      <c r="Q15" s="59">
        <f>Index!J46</f>
        <v>612769.5832749709</v>
      </c>
      <c r="R15" s="59">
        <f>Index!K46</f>
        <v>667831.1874252041</v>
      </c>
      <c r="S15" s="59">
        <f>Index!L46</f>
        <v>547147.1075125461</v>
      </c>
      <c r="T15" s="59">
        <f>Index!M46</f>
        <v>604915.2915124036</v>
      </c>
      <c r="U15" s="59">
        <f>Index!N46</f>
        <v>986571.1405005233</v>
      </c>
      <c r="V15" s="59">
        <f>Index!O46</f>
        <v>1163345.8267490491</v>
      </c>
    </row>
    <row r="16" spans="1:22" ht="12.75">
      <c r="A16" s="5">
        <f t="shared" si="0"/>
        <v>7</v>
      </c>
      <c r="B16" t="s">
        <v>145</v>
      </c>
      <c r="D16" s="95">
        <v>5610</v>
      </c>
      <c r="E16" s="95">
        <f aca="true" t="shared" si="6" ref="E16:E24">F16-D16</f>
        <v>-190</v>
      </c>
      <c r="F16" s="97">
        <v>5420</v>
      </c>
      <c r="G16" s="97"/>
      <c r="H16" s="97">
        <v>13906</v>
      </c>
      <c r="I16" s="19"/>
      <c r="J16" s="3">
        <f t="shared" si="3"/>
        <v>5419.893</v>
      </c>
      <c r="K16" s="59">
        <v>396845</v>
      </c>
      <c r="L16" s="59">
        <v>385325</v>
      </c>
      <c r="M16" s="59">
        <v>383970</v>
      </c>
      <c r="N16" s="59">
        <v>504296</v>
      </c>
      <c r="O16" s="59">
        <v>521948</v>
      </c>
      <c r="P16" s="59">
        <v>431143</v>
      </c>
      <c r="Q16" s="59">
        <v>510592</v>
      </c>
      <c r="R16" s="59">
        <v>433750</v>
      </c>
      <c r="S16" s="59">
        <v>430216</v>
      </c>
      <c r="T16" s="59">
        <v>449179</v>
      </c>
      <c r="U16" s="59">
        <v>468347</v>
      </c>
      <c r="V16" s="59">
        <v>504282</v>
      </c>
    </row>
    <row r="17" spans="1:22" ht="12.75">
      <c r="A17" s="5">
        <f aca="true" t="shared" si="7" ref="A17:A40">A16+1</f>
        <v>8</v>
      </c>
      <c r="B17" t="s">
        <v>144</v>
      </c>
      <c r="D17" s="95">
        <v>617</v>
      </c>
      <c r="E17" s="95">
        <f t="shared" si="6"/>
        <v>16</v>
      </c>
      <c r="F17" s="97">
        <v>633</v>
      </c>
      <c r="G17" s="97"/>
      <c r="H17" s="97">
        <v>5512</v>
      </c>
      <c r="I17" s="19"/>
      <c r="J17" s="3">
        <f t="shared" si="3"/>
        <v>633.2804079290565</v>
      </c>
      <c r="K17" s="59">
        <v>36042.87362076569</v>
      </c>
      <c r="L17" s="59">
        <v>33177.558967093486</v>
      </c>
      <c r="M17" s="59">
        <v>49182.83396112232</v>
      </c>
      <c r="N17" s="59">
        <v>71614.94877877645</v>
      </c>
      <c r="O17" s="59">
        <v>93054.76696156495</v>
      </c>
      <c r="P17" s="59">
        <v>96125.51241107128</v>
      </c>
      <c r="Q17" s="59">
        <v>73487.96909824597</v>
      </c>
      <c r="R17" s="59">
        <v>56859.98286709353</v>
      </c>
      <c r="S17" s="59">
        <v>29780.19300037419</v>
      </c>
      <c r="T17" s="59">
        <v>35359.29144339907</v>
      </c>
      <c r="U17" s="59">
        <v>29293.939834275003</v>
      </c>
      <c r="V17" s="59">
        <v>29300.536985274583</v>
      </c>
    </row>
    <row r="18" spans="1:22" ht="12.75">
      <c r="A18" s="5">
        <f t="shared" si="7"/>
        <v>9</v>
      </c>
      <c r="B18" t="s">
        <v>8</v>
      </c>
      <c r="D18" s="19">
        <v>11870</v>
      </c>
      <c r="E18" s="19">
        <f t="shared" si="6"/>
        <v>2787</v>
      </c>
      <c r="F18" s="95">
        <v>14657</v>
      </c>
      <c r="G18" s="19"/>
      <c r="H18" s="19">
        <v>-2690</v>
      </c>
      <c r="I18" s="102" t="s">
        <v>136</v>
      </c>
      <c r="J18" s="3">
        <f t="shared" si="3"/>
        <v>14656.761295688246</v>
      </c>
      <c r="K18" s="60">
        <v>2993035.584103893</v>
      </c>
      <c r="L18" s="60">
        <v>2703387.207037269</v>
      </c>
      <c r="M18" s="60">
        <v>1477751.974946611</v>
      </c>
      <c r="N18" s="60">
        <v>1430082.5861190753</v>
      </c>
      <c r="O18" s="60"/>
      <c r="P18" s="60"/>
      <c r="Q18" s="60"/>
      <c r="R18" s="60"/>
      <c r="S18" s="60"/>
      <c r="T18" s="60"/>
      <c r="U18" s="60">
        <v>2976641.37680608</v>
      </c>
      <c r="V18" s="60">
        <v>3075862.5666753175</v>
      </c>
    </row>
    <row r="19" spans="1:22" ht="12.75">
      <c r="A19" s="5">
        <f t="shared" si="7"/>
        <v>10</v>
      </c>
      <c r="B19" t="s">
        <v>9</v>
      </c>
      <c r="D19" s="19">
        <v>8</v>
      </c>
      <c r="E19" s="19">
        <f t="shared" si="6"/>
        <v>0</v>
      </c>
      <c r="F19" s="19">
        <v>8</v>
      </c>
      <c r="G19" s="19"/>
      <c r="H19" s="19">
        <v>6679.5</v>
      </c>
      <c r="I19" s="19"/>
      <c r="J19" s="3">
        <f t="shared" si="3"/>
        <v>8.000000000000002</v>
      </c>
      <c r="K19" s="59">
        <f aca="true" t="shared" si="8" ref="K19:V19">$F19/12*1000</f>
        <v>666.6666666666666</v>
      </c>
      <c r="L19" s="59">
        <f t="shared" si="8"/>
        <v>666.6666666666666</v>
      </c>
      <c r="M19" s="59">
        <f t="shared" si="8"/>
        <v>666.6666666666666</v>
      </c>
      <c r="N19" s="59">
        <f t="shared" si="8"/>
        <v>666.6666666666666</v>
      </c>
      <c r="O19" s="59">
        <f t="shared" si="8"/>
        <v>666.6666666666666</v>
      </c>
      <c r="P19" s="59">
        <f t="shared" si="8"/>
        <v>666.6666666666666</v>
      </c>
      <c r="Q19" s="59">
        <f t="shared" si="8"/>
        <v>666.6666666666666</v>
      </c>
      <c r="R19" s="59">
        <f t="shared" si="8"/>
        <v>666.6666666666666</v>
      </c>
      <c r="S19" s="59">
        <f t="shared" si="8"/>
        <v>666.6666666666666</v>
      </c>
      <c r="T19" s="59">
        <f t="shared" si="8"/>
        <v>666.6666666666666</v>
      </c>
      <c r="U19" s="59">
        <f t="shared" si="8"/>
        <v>666.6666666666666</v>
      </c>
      <c r="V19" s="59">
        <f t="shared" si="8"/>
        <v>666.6666666666666</v>
      </c>
    </row>
    <row r="20" spans="1:22" ht="12.75">
      <c r="A20" s="5">
        <f t="shared" si="7"/>
        <v>11</v>
      </c>
      <c r="B20" t="s">
        <v>163</v>
      </c>
      <c r="D20" s="19">
        <v>1091</v>
      </c>
      <c r="E20" s="19">
        <f t="shared" si="6"/>
        <v>58</v>
      </c>
      <c r="F20" s="97">
        <v>1149</v>
      </c>
      <c r="G20" s="97"/>
      <c r="H20" s="97">
        <v>6132</v>
      </c>
      <c r="I20" s="19"/>
      <c r="J20" s="3">
        <f t="shared" si="3"/>
        <v>1148.713</v>
      </c>
      <c r="K20" s="59">
        <v>121055</v>
      </c>
      <c r="L20" s="59">
        <v>129391</v>
      </c>
      <c r="M20" s="59">
        <v>128632</v>
      </c>
      <c r="N20" s="59">
        <v>132485</v>
      </c>
      <c r="O20" s="59">
        <v>116616</v>
      </c>
      <c r="P20" s="59">
        <v>117582</v>
      </c>
      <c r="Q20" s="59">
        <v>87134</v>
      </c>
      <c r="R20" s="59">
        <v>44597</v>
      </c>
      <c r="S20" s="59">
        <v>43996</v>
      </c>
      <c r="T20" s="59">
        <v>51156</v>
      </c>
      <c r="U20" s="59">
        <v>77261</v>
      </c>
      <c r="V20" s="59">
        <v>98808</v>
      </c>
    </row>
    <row r="21" spans="1:22" ht="12.75">
      <c r="A21" s="5">
        <f t="shared" si="7"/>
        <v>12</v>
      </c>
      <c r="B21" t="s">
        <v>201</v>
      </c>
      <c r="D21" s="19">
        <v>1990</v>
      </c>
      <c r="E21" s="19">
        <f t="shared" si="6"/>
        <v>107</v>
      </c>
      <c r="F21" s="95">
        <v>2097</v>
      </c>
      <c r="G21" s="95"/>
      <c r="H21" s="95">
        <v>6132</v>
      </c>
      <c r="I21" s="102" t="s">
        <v>152</v>
      </c>
      <c r="J21" s="3">
        <f t="shared" si="3"/>
        <v>2097</v>
      </c>
      <c r="K21" s="59">
        <f>$F21/12*1000</f>
        <v>174750</v>
      </c>
      <c r="L21" s="59">
        <f aca="true" t="shared" si="9" ref="L21:V21">$F21/12*1000</f>
        <v>174750</v>
      </c>
      <c r="M21" s="59">
        <f t="shared" si="9"/>
        <v>174750</v>
      </c>
      <c r="N21" s="59">
        <f t="shared" si="9"/>
        <v>174750</v>
      </c>
      <c r="O21" s="59">
        <f t="shared" si="9"/>
        <v>174750</v>
      </c>
      <c r="P21" s="59">
        <f t="shared" si="9"/>
        <v>174750</v>
      </c>
      <c r="Q21" s="59">
        <f t="shared" si="9"/>
        <v>174750</v>
      </c>
      <c r="R21" s="59">
        <f t="shared" si="9"/>
        <v>174750</v>
      </c>
      <c r="S21" s="59">
        <f t="shared" si="9"/>
        <v>174750</v>
      </c>
      <c r="T21" s="59">
        <f t="shared" si="9"/>
        <v>174750</v>
      </c>
      <c r="U21" s="59">
        <f t="shared" si="9"/>
        <v>174750</v>
      </c>
      <c r="V21" s="59">
        <f t="shared" si="9"/>
        <v>174750</v>
      </c>
    </row>
    <row r="22" spans="1:22" ht="12.75">
      <c r="A22" s="5">
        <f t="shared" si="7"/>
        <v>13</v>
      </c>
      <c r="B22" t="s">
        <v>10</v>
      </c>
      <c r="D22" s="19">
        <v>1913</v>
      </c>
      <c r="E22" s="19">
        <f t="shared" si="6"/>
        <v>104</v>
      </c>
      <c r="F22" s="95">
        <v>2017</v>
      </c>
      <c r="G22" s="19"/>
      <c r="H22" s="19">
        <v>6953.25</v>
      </c>
      <c r="I22" s="19"/>
      <c r="J22" s="3">
        <f t="shared" si="3"/>
        <v>2017</v>
      </c>
      <c r="K22" s="59">
        <f>$F22*0.11*1000</f>
        <v>221870</v>
      </c>
      <c r="L22" s="59">
        <f>$F22*0.1*1000</f>
        <v>201700.00000000003</v>
      </c>
      <c r="M22" s="59">
        <f>$F22*0.1*1000</f>
        <v>201700.00000000003</v>
      </c>
      <c r="N22" s="59">
        <f>$F22*0.12*1000</f>
        <v>242040</v>
      </c>
      <c r="O22" s="59">
        <f>$F22*0.12*1000</f>
        <v>242040</v>
      </c>
      <c r="P22" s="59">
        <f>$F22*0.12*1000</f>
        <v>242040</v>
      </c>
      <c r="Q22" s="59">
        <f>$F22*0.07*1000</f>
        <v>141190.00000000003</v>
      </c>
      <c r="R22" s="59">
        <f>$F22*0*1000</f>
        <v>0</v>
      </c>
      <c r="S22" s="59">
        <f>$F22*0.02*1000</f>
        <v>40340</v>
      </c>
      <c r="T22" s="59">
        <f>$F22*0.04*1000</f>
        <v>80680</v>
      </c>
      <c r="U22" s="59">
        <f>$F22*0.08*1000</f>
        <v>161360</v>
      </c>
      <c r="V22" s="59">
        <f>$F22*0.12*1000</f>
        <v>242040</v>
      </c>
    </row>
    <row r="23" spans="1:22" ht="12.75">
      <c r="A23" s="5">
        <f t="shared" si="7"/>
        <v>14</v>
      </c>
      <c r="B23" t="s">
        <v>180</v>
      </c>
      <c r="D23" s="19">
        <v>1536</v>
      </c>
      <c r="E23" s="19">
        <f t="shared" si="6"/>
        <v>-1536</v>
      </c>
      <c r="F23" s="19">
        <v>0</v>
      </c>
      <c r="G23" s="19"/>
      <c r="H23" s="19">
        <v>0</v>
      </c>
      <c r="I23" s="100" t="s">
        <v>151</v>
      </c>
      <c r="J23" s="3">
        <f t="shared" si="3"/>
        <v>0</v>
      </c>
      <c r="K23" s="59">
        <f>$F23/12*1000</f>
        <v>0</v>
      </c>
      <c r="L23" s="59">
        <f aca="true" t="shared" si="10" ref="L23:V24">$F23/12*1000</f>
        <v>0</v>
      </c>
      <c r="M23" s="59">
        <f t="shared" si="10"/>
        <v>0</v>
      </c>
      <c r="N23" s="59">
        <f t="shared" si="10"/>
        <v>0</v>
      </c>
      <c r="O23" s="59">
        <f t="shared" si="10"/>
        <v>0</v>
      </c>
      <c r="P23" s="59">
        <f t="shared" si="10"/>
        <v>0</v>
      </c>
      <c r="Q23" s="59">
        <f t="shared" si="10"/>
        <v>0</v>
      </c>
      <c r="R23" s="59">
        <f t="shared" si="10"/>
        <v>0</v>
      </c>
      <c r="S23" s="59">
        <f t="shared" si="10"/>
        <v>0</v>
      </c>
      <c r="T23" s="59">
        <f t="shared" si="10"/>
        <v>0</v>
      </c>
      <c r="U23" s="59">
        <f t="shared" si="10"/>
        <v>0</v>
      </c>
      <c r="V23" s="59">
        <f t="shared" si="10"/>
        <v>0</v>
      </c>
    </row>
    <row r="24" spans="1:22" ht="12.75">
      <c r="A24" s="5">
        <f t="shared" si="7"/>
        <v>15</v>
      </c>
      <c r="B24" t="s">
        <v>181</v>
      </c>
      <c r="D24" s="19">
        <v>1681</v>
      </c>
      <c r="E24" s="19">
        <f t="shared" si="6"/>
        <v>-1681</v>
      </c>
      <c r="F24" s="19">
        <v>0</v>
      </c>
      <c r="G24" s="19"/>
      <c r="H24" s="19"/>
      <c r="I24" s="100"/>
      <c r="J24" s="3">
        <f t="shared" si="3"/>
        <v>0</v>
      </c>
      <c r="K24" s="59">
        <f>$F24/12*1000</f>
        <v>0</v>
      </c>
      <c r="L24" s="59">
        <f t="shared" si="10"/>
        <v>0</v>
      </c>
      <c r="M24" s="59">
        <f t="shared" si="10"/>
        <v>0</v>
      </c>
      <c r="N24" s="59">
        <f t="shared" si="10"/>
        <v>0</v>
      </c>
      <c r="O24" s="59">
        <f t="shared" si="10"/>
        <v>0</v>
      </c>
      <c r="P24" s="59">
        <f t="shared" si="10"/>
        <v>0</v>
      </c>
      <c r="Q24" s="59">
        <f t="shared" si="10"/>
        <v>0</v>
      </c>
      <c r="R24" s="59">
        <f t="shared" si="10"/>
        <v>0</v>
      </c>
      <c r="S24" s="59">
        <f t="shared" si="10"/>
        <v>0</v>
      </c>
      <c r="T24" s="59">
        <f t="shared" si="10"/>
        <v>0</v>
      </c>
      <c r="U24" s="59">
        <f t="shared" si="10"/>
        <v>0</v>
      </c>
      <c r="V24" s="59">
        <f t="shared" si="10"/>
        <v>0</v>
      </c>
    </row>
    <row r="25" spans="1:22" ht="12.75">
      <c r="A25" s="5">
        <f t="shared" si="7"/>
        <v>16</v>
      </c>
      <c r="B25" t="s">
        <v>33</v>
      </c>
      <c r="D25" s="19">
        <v>144</v>
      </c>
      <c r="E25" s="19">
        <f aca="true" t="shared" si="11" ref="E25:E40">F25-D25</f>
        <v>65.44159680175784</v>
      </c>
      <c r="F25" s="95">
        <f>Index!C19/1000</f>
        <v>209.44159680175784</v>
      </c>
      <c r="G25" s="98" t="s">
        <v>148</v>
      </c>
      <c r="H25" s="95">
        <v>4</v>
      </c>
      <c r="I25" s="100" t="s">
        <v>148</v>
      </c>
      <c r="J25" s="3">
        <f t="shared" si="3"/>
        <v>209.44159680175784</v>
      </c>
      <c r="K25" s="59"/>
      <c r="L25" s="59"/>
      <c r="M25" s="59"/>
      <c r="N25" s="59"/>
      <c r="O25" s="59"/>
      <c r="P25" s="59"/>
      <c r="Q25" s="59"/>
      <c r="R25" s="59"/>
      <c r="S25" s="59"/>
      <c r="T25" s="59">
        <f>F25*1000</f>
        <v>209441.59680175784</v>
      </c>
      <c r="U25" s="59"/>
      <c r="V25" s="59"/>
    </row>
    <row r="26" spans="1:22" ht="12.75">
      <c r="A26" s="5">
        <f t="shared" si="7"/>
        <v>17</v>
      </c>
      <c r="B26" t="s">
        <v>59</v>
      </c>
      <c r="D26" s="19">
        <v>241</v>
      </c>
      <c r="E26" s="19">
        <f t="shared" si="11"/>
        <v>-241</v>
      </c>
      <c r="F26" s="19">
        <v>0</v>
      </c>
      <c r="G26" s="19"/>
      <c r="H26" s="19">
        <v>921</v>
      </c>
      <c r="I26" s="100" t="s">
        <v>132</v>
      </c>
      <c r="J26" s="3">
        <f t="shared" si="3"/>
        <v>0</v>
      </c>
      <c r="K26" s="59">
        <f aca="true" t="shared" si="12" ref="K26:V26">$F26/12</f>
        <v>0</v>
      </c>
      <c r="L26" s="59">
        <f t="shared" si="12"/>
        <v>0</v>
      </c>
      <c r="M26" s="59">
        <f t="shared" si="12"/>
        <v>0</v>
      </c>
      <c r="N26" s="59">
        <f t="shared" si="12"/>
        <v>0</v>
      </c>
      <c r="O26" s="59">
        <f t="shared" si="12"/>
        <v>0</v>
      </c>
      <c r="P26" s="59">
        <f t="shared" si="12"/>
        <v>0</v>
      </c>
      <c r="Q26" s="59">
        <f t="shared" si="12"/>
        <v>0</v>
      </c>
      <c r="R26" s="59">
        <f t="shared" si="12"/>
        <v>0</v>
      </c>
      <c r="S26" s="59">
        <f t="shared" si="12"/>
        <v>0</v>
      </c>
      <c r="T26" s="59">
        <f t="shared" si="12"/>
        <v>0</v>
      </c>
      <c r="U26" s="59">
        <f t="shared" si="12"/>
        <v>0</v>
      </c>
      <c r="V26" s="59">
        <f t="shared" si="12"/>
        <v>0</v>
      </c>
    </row>
    <row r="27" spans="1:22" ht="12.75">
      <c r="A27" s="5">
        <f t="shared" si="7"/>
        <v>18</v>
      </c>
      <c r="B27" t="s">
        <v>161</v>
      </c>
      <c r="D27" s="19">
        <v>6789</v>
      </c>
      <c r="E27" s="19">
        <f t="shared" si="11"/>
        <v>0</v>
      </c>
      <c r="F27" s="19">
        <v>6789</v>
      </c>
      <c r="G27" s="23">
        <f aca="true" t="shared" si="13" ref="G27:G32">F27/25/8760*1000</f>
        <v>31</v>
      </c>
      <c r="H27" s="19">
        <v>1589</v>
      </c>
      <c r="I27" s="19"/>
      <c r="J27" s="3">
        <f t="shared" si="3"/>
        <v>6789</v>
      </c>
      <c r="K27" s="59">
        <f>25*K$5*31</f>
        <v>576600</v>
      </c>
      <c r="L27" s="59">
        <f aca="true" t="shared" si="14" ref="L27:V27">25*L$5*31</f>
        <v>520800</v>
      </c>
      <c r="M27" s="59">
        <f t="shared" si="14"/>
        <v>576600</v>
      </c>
      <c r="N27" s="59">
        <f t="shared" si="14"/>
        <v>557225</v>
      </c>
      <c r="O27" s="59">
        <f t="shared" si="14"/>
        <v>576600</v>
      </c>
      <c r="P27" s="59">
        <f t="shared" si="14"/>
        <v>558000</v>
      </c>
      <c r="Q27" s="59">
        <f t="shared" si="14"/>
        <v>576600</v>
      </c>
      <c r="R27" s="59">
        <f t="shared" si="14"/>
        <v>576600</v>
      </c>
      <c r="S27" s="59">
        <f t="shared" si="14"/>
        <v>558000</v>
      </c>
      <c r="T27" s="59">
        <f t="shared" si="14"/>
        <v>577375</v>
      </c>
      <c r="U27" s="59">
        <f t="shared" si="14"/>
        <v>558000</v>
      </c>
      <c r="V27" s="59">
        <f t="shared" si="14"/>
        <v>576600</v>
      </c>
    </row>
    <row r="28" spans="1:22" ht="12.75">
      <c r="A28" s="5">
        <f t="shared" si="7"/>
        <v>19</v>
      </c>
      <c r="B28" t="s">
        <v>162</v>
      </c>
      <c r="D28" s="95">
        <v>6745</v>
      </c>
      <c r="E28" s="19">
        <f t="shared" si="11"/>
        <v>0</v>
      </c>
      <c r="F28" s="19">
        <v>6745</v>
      </c>
      <c r="G28" s="23">
        <f t="shared" si="13"/>
        <v>30.799086757990867</v>
      </c>
      <c r="H28" s="19"/>
      <c r="I28" s="19"/>
      <c r="J28" s="3">
        <f t="shared" si="3"/>
        <v>6745.2</v>
      </c>
      <c r="K28" s="59">
        <f>25*K$5*30.8</f>
        <v>572880</v>
      </c>
      <c r="L28" s="59">
        <f aca="true" t="shared" si="15" ref="L28:V28">25*L$5*30.8</f>
        <v>517440</v>
      </c>
      <c r="M28" s="59">
        <f t="shared" si="15"/>
        <v>572880</v>
      </c>
      <c r="N28" s="59">
        <f t="shared" si="15"/>
        <v>553630</v>
      </c>
      <c r="O28" s="59">
        <f t="shared" si="15"/>
        <v>572880</v>
      </c>
      <c r="P28" s="59">
        <f t="shared" si="15"/>
        <v>554400</v>
      </c>
      <c r="Q28" s="59">
        <f t="shared" si="15"/>
        <v>572880</v>
      </c>
      <c r="R28" s="59">
        <f t="shared" si="15"/>
        <v>572880</v>
      </c>
      <c r="S28" s="59">
        <f t="shared" si="15"/>
        <v>554400</v>
      </c>
      <c r="T28" s="59">
        <f t="shared" si="15"/>
        <v>573650</v>
      </c>
      <c r="U28" s="59">
        <f t="shared" si="15"/>
        <v>554400</v>
      </c>
      <c r="V28" s="59">
        <f t="shared" si="15"/>
        <v>572880</v>
      </c>
    </row>
    <row r="29" spans="1:22" ht="12.75">
      <c r="A29" s="5">
        <f t="shared" si="7"/>
        <v>20</v>
      </c>
      <c r="B29" t="s">
        <v>139</v>
      </c>
      <c r="D29" s="19">
        <v>6658</v>
      </c>
      <c r="E29" s="19">
        <f t="shared" si="11"/>
        <v>0</v>
      </c>
      <c r="F29" s="19">
        <v>6658</v>
      </c>
      <c r="G29" s="23">
        <f t="shared" si="13"/>
        <v>30.40182648401826</v>
      </c>
      <c r="H29" s="19">
        <v>2003</v>
      </c>
      <c r="I29" s="19"/>
      <c r="J29" s="3">
        <f t="shared" si="3"/>
        <v>6657.6</v>
      </c>
      <c r="K29" s="59">
        <f>25*K$5*30.4</f>
        <v>565440</v>
      </c>
      <c r="L29" s="59">
        <f aca="true" t="shared" si="16" ref="L29:V29">25*L$5*30.4</f>
        <v>510720</v>
      </c>
      <c r="M29" s="59">
        <f t="shared" si="16"/>
        <v>565440</v>
      </c>
      <c r="N29" s="59">
        <f t="shared" si="16"/>
        <v>546440</v>
      </c>
      <c r="O29" s="59">
        <f t="shared" si="16"/>
        <v>565440</v>
      </c>
      <c r="P29" s="59">
        <f t="shared" si="16"/>
        <v>547200</v>
      </c>
      <c r="Q29" s="59">
        <f t="shared" si="16"/>
        <v>565440</v>
      </c>
      <c r="R29" s="59">
        <f t="shared" si="16"/>
        <v>565440</v>
      </c>
      <c r="S29" s="59">
        <f t="shared" si="16"/>
        <v>547200</v>
      </c>
      <c r="T29" s="59">
        <f t="shared" si="16"/>
        <v>566200</v>
      </c>
      <c r="U29" s="59">
        <f t="shared" si="16"/>
        <v>547200</v>
      </c>
      <c r="V29" s="59">
        <f t="shared" si="16"/>
        <v>565440</v>
      </c>
    </row>
    <row r="30" spans="1:22" ht="12.75">
      <c r="A30" s="5">
        <f t="shared" si="7"/>
        <v>21</v>
      </c>
      <c r="B30" t="s">
        <v>140</v>
      </c>
      <c r="D30" s="19">
        <v>7556</v>
      </c>
      <c r="E30" s="19">
        <f t="shared" si="11"/>
        <v>0</v>
      </c>
      <c r="F30" s="19">
        <v>7556</v>
      </c>
      <c r="G30" s="23">
        <f t="shared" si="13"/>
        <v>34.50228310502283</v>
      </c>
      <c r="H30" s="19">
        <v>0</v>
      </c>
      <c r="I30" s="19"/>
      <c r="J30" s="3">
        <f t="shared" si="3"/>
        <v>7555.5</v>
      </c>
      <c r="K30" s="59">
        <f>25*K5*34.5</f>
        <v>641700</v>
      </c>
      <c r="L30" s="59">
        <f aca="true" t="shared" si="17" ref="L30:V30">25*L5*34.5</f>
        <v>579600</v>
      </c>
      <c r="M30" s="59">
        <f t="shared" si="17"/>
        <v>641700</v>
      </c>
      <c r="N30" s="59">
        <f t="shared" si="17"/>
        <v>620137.5</v>
      </c>
      <c r="O30" s="59">
        <f t="shared" si="17"/>
        <v>641700</v>
      </c>
      <c r="P30" s="59">
        <f t="shared" si="17"/>
        <v>621000</v>
      </c>
      <c r="Q30" s="59">
        <f t="shared" si="17"/>
        <v>641700</v>
      </c>
      <c r="R30" s="59">
        <f t="shared" si="17"/>
        <v>641700</v>
      </c>
      <c r="S30" s="59">
        <f t="shared" si="17"/>
        <v>621000</v>
      </c>
      <c r="T30" s="59">
        <f t="shared" si="17"/>
        <v>642562.5</v>
      </c>
      <c r="U30" s="59">
        <f t="shared" si="17"/>
        <v>621000</v>
      </c>
      <c r="V30" s="59">
        <f t="shared" si="17"/>
        <v>641700</v>
      </c>
    </row>
    <row r="31" spans="1:22" ht="12.75">
      <c r="A31" s="5">
        <f t="shared" si="7"/>
        <v>22</v>
      </c>
      <c r="B31" t="s">
        <v>171</v>
      </c>
      <c r="D31" s="19">
        <v>1533</v>
      </c>
      <c r="E31" s="19">
        <f t="shared" si="11"/>
        <v>-1533</v>
      </c>
      <c r="F31" s="19">
        <v>0</v>
      </c>
      <c r="G31" s="23">
        <f t="shared" si="13"/>
        <v>0</v>
      </c>
      <c r="H31" s="19"/>
      <c r="I31" s="19"/>
      <c r="J31" s="3">
        <f t="shared" si="3"/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</row>
    <row r="32" spans="1:22" ht="12.75">
      <c r="A32" s="5">
        <f t="shared" si="7"/>
        <v>23</v>
      </c>
      <c r="B32" t="s">
        <v>158</v>
      </c>
      <c r="D32" s="19">
        <v>0</v>
      </c>
      <c r="E32" s="19">
        <f t="shared" si="11"/>
        <v>5403</v>
      </c>
      <c r="F32" s="19">
        <v>5403</v>
      </c>
      <c r="G32" s="19">
        <f t="shared" si="13"/>
        <v>24.671232876712327</v>
      </c>
      <c r="H32" s="19"/>
      <c r="I32" s="19"/>
      <c r="J32" s="3">
        <f t="shared" si="3"/>
        <v>5403.388104162598</v>
      </c>
      <c r="K32" s="59">
        <v>492779.6451311384</v>
      </c>
      <c r="L32" s="59">
        <v>447052.271358817</v>
      </c>
      <c r="M32" s="59">
        <v>493315.7660470145</v>
      </c>
      <c r="N32" s="59">
        <v>407899.0370779855</v>
      </c>
      <c r="O32" s="59">
        <v>402492.2949567522</v>
      </c>
      <c r="P32" s="59">
        <v>322265.3923043387</v>
      </c>
      <c r="Q32" s="59">
        <v>487156.3142682757</v>
      </c>
      <c r="R32" s="59">
        <v>496044.67393275665</v>
      </c>
      <c r="S32" s="59">
        <v>479959.6704659598</v>
      </c>
      <c r="T32" s="59">
        <v>446556.2365722656</v>
      </c>
      <c r="U32" s="59">
        <v>432151.2114257813</v>
      </c>
      <c r="V32" s="59">
        <v>495715.59062151227</v>
      </c>
    </row>
    <row r="33" spans="1:22" ht="12.75">
      <c r="A33" s="5">
        <f t="shared" si="7"/>
        <v>24</v>
      </c>
      <c r="B33" t="s">
        <v>227</v>
      </c>
      <c r="D33" s="19">
        <v>1286</v>
      </c>
      <c r="E33" s="19">
        <f t="shared" si="11"/>
        <v>-1286</v>
      </c>
      <c r="F33" s="19">
        <v>0</v>
      </c>
      <c r="G33" s="19"/>
      <c r="H33" s="19"/>
      <c r="I33" s="19"/>
      <c r="J33" s="3">
        <f t="shared" si="3"/>
        <v>0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ht="12.75">
      <c r="A34" s="5">
        <f t="shared" si="7"/>
        <v>25</v>
      </c>
      <c r="B34" t="s">
        <v>183</v>
      </c>
      <c r="D34" s="19">
        <v>3074</v>
      </c>
      <c r="E34" s="19">
        <f t="shared" si="11"/>
        <v>-3074</v>
      </c>
      <c r="F34" s="19">
        <v>0</v>
      </c>
      <c r="G34" s="19"/>
      <c r="H34" s="19"/>
      <c r="I34" s="19"/>
      <c r="J34" s="3">
        <f t="shared" si="3"/>
        <v>0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ht="12.75">
      <c r="A35" s="5">
        <f t="shared" si="7"/>
        <v>26</v>
      </c>
      <c r="B35" t="s">
        <v>182</v>
      </c>
      <c r="D35" s="19">
        <v>276</v>
      </c>
      <c r="E35" s="19">
        <f t="shared" si="11"/>
        <v>-276</v>
      </c>
      <c r="F35" s="19">
        <v>0</v>
      </c>
      <c r="G35" s="19"/>
      <c r="H35" s="19"/>
      <c r="I35" s="19"/>
      <c r="J35" s="3">
        <f t="shared" si="3"/>
        <v>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ht="12.75">
      <c r="A36" s="5">
        <f t="shared" si="7"/>
        <v>27</v>
      </c>
      <c r="B36" t="s">
        <v>137</v>
      </c>
      <c r="D36" s="19">
        <v>19861</v>
      </c>
      <c r="E36" s="19">
        <f t="shared" si="11"/>
        <v>-19861</v>
      </c>
      <c r="F36" s="19">
        <v>0</v>
      </c>
      <c r="G36" s="19"/>
      <c r="H36" s="19">
        <v>441.6874758376757</v>
      </c>
      <c r="I36" s="19"/>
      <c r="J36" s="3">
        <f t="shared" si="3"/>
        <v>0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ht="12.75">
      <c r="A37" s="5">
        <f t="shared" si="7"/>
        <v>28</v>
      </c>
      <c r="B37" t="s">
        <v>204</v>
      </c>
      <c r="D37" s="19">
        <v>980</v>
      </c>
      <c r="E37" s="19">
        <f t="shared" si="11"/>
        <v>0</v>
      </c>
      <c r="F37" s="19">
        <v>980</v>
      </c>
      <c r="G37" s="19"/>
      <c r="H37" s="19"/>
      <c r="I37" s="19"/>
      <c r="J37" s="3">
        <f t="shared" si="3"/>
        <v>980</v>
      </c>
      <c r="K37" s="59">
        <v>0</v>
      </c>
      <c r="L37" s="59">
        <v>0</v>
      </c>
      <c r="M37" s="59">
        <v>0</v>
      </c>
      <c r="N37" s="59">
        <v>0</v>
      </c>
      <c r="O37" s="59">
        <v>480000</v>
      </c>
      <c r="P37" s="59">
        <v>500000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</row>
    <row r="38" spans="1:22" ht="12.75">
      <c r="A38" s="5">
        <f t="shared" si="7"/>
        <v>29</v>
      </c>
      <c r="B38" t="s">
        <v>188</v>
      </c>
      <c r="D38" s="19">
        <v>662</v>
      </c>
      <c r="E38" s="19">
        <f t="shared" si="11"/>
        <v>-662</v>
      </c>
      <c r="F38" s="19">
        <v>0</v>
      </c>
      <c r="G38" s="19"/>
      <c r="H38" s="19"/>
      <c r="I38" s="19"/>
      <c r="J38" s="3">
        <f t="shared" si="3"/>
        <v>0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ht="12.75">
      <c r="A39" s="5">
        <f t="shared" si="7"/>
        <v>30</v>
      </c>
      <c r="B39" s="17" t="s">
        <v>141</v>
      </c>
      <c r="C39" s="17"/>
      <c r="D39" s="42">
        <v>3173</v>
      </c>
      <c r="E39" s="42">
        <f t="shared" si="11"/>
        <v>-123</v>
      </c>
      <c r="F39" s="96">
        <v>3050</v>
      </c>
      <c r="G39" s="95"/>
      <c r="H39" s="95">
        <v>0</v>
      </c>
      <c r="I39" s="19" t="s">
        <v>146</v>
      </c>
      <c r="J39" s="91">
        <f t="shared" si="3"/>
        <v>3049.674110258789</v>
      </c>
      <c r="K39" s="82">
        <v>270761.95686523436</v>
      </c>
      <c r="L39" s="82">
        <v>207855.48</v>
      </c>
      <c r="M39" s="82">
        <v>287080.7831347656</v>
      </c>
      <c r="N39" s="82">
        <v>255371.27</v>
      </c>
      <c r="O39" s="82">
        <v>267326.4205957032</v>
      </c>
      <c r="P39" s="82">
        <v>300254.99</v>
      </c>
      <c r="Q39" s="82">
        <v>265179.2055957031</v>
      </c>
      <c r="R39" s="82">
        <v>272909.1718652344</v>
      </c>
      <c r="S39" s="82">
        <v>247475.06</v>
      </c>
      <c r="T39" s="82">
        <v>263461.4181347656</v>
      </c>
      <c r="U39" s="82">
        <v>278228.72</v>
      </c>
      <c r="V39" s="82">
        <v>133769.6340673828</v>
      </c>
    </row>
    <row r="40" spans="1:22" ht="12.75">
      <c r="A40" s="5">
        <f t="shared" si="7"/>
        <v>31</v>
      </c>
      <c r="B40" t="s">
        <v>11</v>
      </c>
      <c r="D40" s="95">
        <f>SUM(D9:D39)</f>
        <v>191128</v>
      </c>
      <c r="E40" s="19">
        <f t="shared" si="11"/>
        <v>-4172.97893153652</v>
      </c>
      <c r="F40" s="19">
        <f>SUM(F9:F39)</f>
        <v>186955.02106846348</v>
      </c>
      <c r="G40" s="19"/>
      <c r="H40" s="19">
        <v>0</v>
      </c>
      <c r="I40" s="19"/>
      <c r="J40" s="3">
        <f t="shared" si="3"/>
        <v>186954.34998650217</v>
      </c>
      <c r="K40" s="27">
        <f>SUM(K9:K39)</f>
        <v>32116589.025115803</v>
      </c>
      <c r="L40" s="27">
        <f aca="true" t="shared" si="18" ref="L40:V40">SUM(L9:L39)</f>
        <v>23906164.0135692</v>
      </c>
      <c r="M40" s="27">
        <f t="shared" si="18"/>
        <v>23693263.245382678</v>
      </c>
      <c r="N40" s="27">
        <f t="shared" si="18"/>
        <v>9477854.293118674</v>
      </c>
      <c r="O40" s="27">
        <f t="shared" si="18"/>
        <v>6521025.883066021</v>
      </c>
      <c r="P40" s="27">
        <f t="shared" si="18"/>
        <v>6651714.048833156</v>
      </c>
      <c r="Q40" s="27">
        <f t="shared" si="18"/>
        <v>9910239.386975152</v>
      </c>
      <c r="R40" s="27">
        <f t="shared" si="18"/>
        <v>13549074.263811642</v>
      </c>
      <c r="S40" s="27">
        <f t="shared" si="18"/>
        <v>13878031.303114297</v>
      </c>
      <c r="T40" s="27">
        <f t="shared" si="18"/>
        <v>14669200.139803132</v>
      </c>
      <c r="U40" s="27">
        <f t="shared" si="18"/>
        <v>15518844.741756763</v>
      </c>
      <c r="V40" s="27">
        <f t="shared" si="18"/>
        <v>17062349.64195563</v>
      </c>
    </row>
    <row r="41" spans="1:10" ht="12.75">
      <c r="A41" s="5"/>
      <c r="E41" s="19"/>
      <c r="F41" s="19"/>
      <c r="G41" s="19"/>
      <c r="H41" s="42">
        <v>3186</v>
      </c>
      <c r="I41" s="19"/>
      <c r="J41" s="3"/>
    </row>
    <row r="42" spans="1:10" ht="12.75">
      <c r="A42" s="5"/>
      <c r="B42" s="7" t="s">
        <v>31</v>
      </c>
      <c r="D42" s="19"/>
      <c r="E42" s="19"/>
      <c r="F42" s="19"/>
      <c r="G42" s="19"/>
      <c r="H42" s="19">
        <v>0</v>
      </c>
      <c r="I42" s="19"/>
      <c r="J42" s="3"/>
    </row>
    <row r="43" spans="1:22" ht="12.75">
      <c r="A43" s="5">
        <f>A40+1</f>
        <v>32</v>
      </c>
      <c r="B43" t="s">
        <v>16</v>
      </c>
      <c r="D43" s="95">
        <v>52</v>
      </c>
      <c r="E43" s="95">
        <f>F43-D43</f>
        <v>0</v>
      </c>
      <c r="F43" s="95">
        <v>52</v>
      </c>
      <c r="G43" s="95"/>
      <c r="H43" s="96">
        <v>150</v>
      </c>
      <c r="I43" s="19"/>
      <c r="J43" s="3">
        <f>SUM(K43:V43)/1000</f>
        <v>52.00000000000001</v>
      </c>
      <c r="K43" s="59">
        <f>$F43/12*1000</f>
        <v>4333.333333333333</v>
      </c>
      <c r="L43" s="59">
        <f aca="true" t="shared" si="19" ref="L43:V43">$F43/12*1000</f>
        <v>4333.333333333333</v>
      </c>
      <c r="M43" s="59">
        <f t="shared" si="19"/>
        <v>4333.333333333333</v>
      </c>
      <c r="N43" s="59">
        <f t="shared" si="19"/>
        <v>4333.333333333333</v>
      </c>
      <c r="O43" s="59">
        <f t="shared" si="19"/>
        <v>4333.333333333333</v>
      </c>
      <c r="P43" s="59">
        <f t="shared" si="19"/>
        <v>4333.333333333333</v>
      </c>
      <c r="Q43" s="59">
        <f t="shared" si="19"/>
        <v>4333.333333333333</v>
      </c>
      <c r="R43" s="59">
        <f t="shared" si="19"/>
        <v>4333.333333333333</v>
      </c>
      <c r="S43" s="59">
        <f t="shared" si="19"/>
        <v>4333.333333333333</v>
      </c>
      <c r="T43" s="59">
        <f t="shared" si="19"/>
        <v>4333.333333333333</v>
      </c>
      <c r="U43" s="59">
        <f t="shared" si="19"/>
        <v>4333.333333333333</v>
      </c>
      <c r="V43" s="59">
        <f t="shared" si="19"/>
        <v>4333.333333333333</v>
      </c>
    </row>
    <row r="44" spans="1:22" ht="12.75">
      <c r="A44" s="5">
        <f>A43+1</f>
        <v>33</v>
      </c>
      <c r="B44" t="s">
        <v>190</v>
      </c>
      <c r="D44" s="95">
        <v>301</v>
      </c>
      <c r="E44" s="95">
        <f>F44-D44</f>
        <v>49</v>
      </c>
      <c r="F44" s="95">
        <v>350</v>
      </c>
      <c r="G44" s="95"/>
      <c r="H44" s="95"/>
      <c r="I44" s="19"/>
      <c r="J44" s="3">
        <f>SUM(K44:V44)/1000</f>
        <v>350.4</v>
      </c>
      <c r="K44" s="59">
        <f>40*K5</f>
        <v>29760</v>
      </c>
      <c r="L44" s="59">
        <f aca="true" t="shared" si="20" ref="L44:V44">40*L5</f>
        <v>26880</v>
      </c>
      <c r="M44" s="59">
        <f t="shared" si="20"/>
        <v>29760</v>
      </c>
      <c r="N44" s="59">
        <f t="shared" si="20"/>
        <v>28760</v>
      </c>
      <c r="O44" s="59">
        <f t="shared" si="20"/>
        <v>29760</v>
      </c>
      <c r="P44" s="59">
        <f t="shared" si="20"/>
        <v>28800</v>
      </c>
      <c r="Q44" s="59">
        <f t="shared" si="20"/>
        <v>29760</v>
      </c>
      <c r="R44" s="59">
        <f t="shared" si="20"/>
        <v>29760</v>
      </c>
      <c r="S44" s="59">
        <f t="shared" si="20"/>
        <v>28800</v>
      </c>
      <c r="T44" s="59">
        <f t="shared" si="20"/>
        <v>29800</v>
      </c>
      <c r="U44" s="59">
        <f t="shared" si="20"/>
        <v>28800</v>
      </c>
      <c r="V44" s="59">
        <f t="shared" si="20"/>
        <v>29760</v>
      </c>
    </row>
    <row r="45" spans="1:22" ht="12.75">
      <c r="A45" s="5">
        <f>A44+1</f>
        <v>34</v>
      </c>
      <c r="B45" t="s">
        <v>184</v>
      </c>
      <c r="D45" s="95">
        <v>23</v>
      </c>
      <c r="E45" s="95">
        <f>F45-D45</f>
        <v>-23</v>
      </c>
      <c r="F45" s="95">
        <v>0</v>
      </c>
      <c r="G45" s="95"/>
      <c r="H45" s="95"/>
      <c r="I45" s="19"/>
      <c r="J45" s="3">
        <f>SUM(K45:V45)/1000</f>
        <v>0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10" ht="12.75">
      <c r="A46" s="5">
        <f>A45+1</f>
        <v>35</v>
      </c>
      <c r="B46" s="17" t="s">
        <v>232</v>
      </c>
      <c r="C46" s="17"/>
      <c r="D46" s="19">
        <v>16575</v>
      </c>
      <c r="E46" s="42">
        <f>F46-D46</f>
        <v>-16575</v>
      </c>
      <c r="F46" s="19">
        <v>0</v>
      </c>
      <c r="G46" s="19"/>
      <c r="H46" s="19">
        <v>152</v>
      </c>
      <c r="I46" s="100" t="s">
        <v>150</v>
      </c>
      <c r="J46" s="3">
        <f>SUM(K46:V46)/1000</f>
        <v>0</v>
      </c>
    </row>
    <row r="47" spans="1:10" ht="12.75">
      <c r="A47" s="5">
        <f>A46+1</f>
        <v>36</v>
      </c>
      <c r="B47" t="s">
        <v>17</v>
      </c>
      <c r="D47" s="114">
        <f>SUM(D43:D46)</f>
        <v>16951</v>
      </c>
      <c r="E47" s="19">
        <f>F47-D47</f>
        <v>-16549</v>
      </c>
      <c r="F47" s="21">
        <f>SUM(F43:F46)</f>
        <v>402</v>
      </c>
      <c r="G47" s="19"/>
      <c r="H47" s="19"/>
      <c r="I47" s="19"/>
      <c r="J47" s="3"/>
    </row>
    <row r="48" spans="1:10" ht="12.75">
      <c r="A48" s="5"/>
      <c r="D48" s="19"/>
      <c r="E48" s="19"/>
      <c r="F48" s="19"/>
      <c r="G48" s="19"/>
      <c r="H48" s="19"/>
      <c r="I48" s="19"/>
      <c r="J48" s="3"/>
    </row>
    <row r="49" spans="1:10" ht="12.75">
      <c r="A49" s="5"/>
      <c r="B49" s="7" t="s">
        <v>56</v>
      </c>
      <c r="D49" s="19"/>
      <c r="E49" s="19"/>
      <c r="F49" s="19"/>
      <c r="G49" s="19"/>
      <c r="H49" s="19">
        <v>78</v>
      </c>
      <c r="I49" s="19"/>
      <c r="J49" s="3"/>
    </row>
    <row r="50" spans="1:22" ht="12.75">
      <c r="A50" s="5">
        <f>A47+1</f>
        <v>37</v>
      </c>
      <c r="B50" t="s">
        <v>52</v>
      </c>
      <c r="C50" s="13"/>
      <c r="D50" s="19">
        <v>8714</v>
      </c>
      <c r="E50" s="19">
        <f>F50-D50</f>
        <v>3112.856345596314</v>
      </c>
      <c r="F50" s="95">
        <f>'WGJ-8'!C27/1000</f>
        <v>11826.856345596314</v>
      </c>
      <c r="G50" s="95"/>
      <c r="H50" s="96">
        <v>0</v>
      </c>
      <c r="I50" s="100" t="s">
        <v>149</v>
      </c>
      <c r="J50" s="3">
        <f>SUM(K50:V50)/1000</f>
        <v>11826.856345596314</v>
      </c>
      <c r="K50" s="27">
        <f>'WGJ-8'!D27</f>
        <v>1149981.8508911133</v>
      </c>
      <c r="L50" s="27">
        <f>'WGJ-8'!E27</f>
        <v>1105164.9377441406</v>
      </c>
      <c r="M50" s="27">
        <f>'WGJ-8'!F27</f>
        <v>1204352.4359893799</v>
      </c>
      <c r="N50" s="27">
        <f>'WGJ-8'!G27</f>
        <v>1149490.9387207031</v>
      </c>
      <c r="O50" s="27">
        <f>'WGJ-8'!H27</f>
        <v>40647.491455078125</v>
      </c>
      <c r="P50" s="27">
        <f>'WGJ-8'!I27</f>
        <v>0</v>
      </c>
      <c r="Q50" s="27">
        <f>'WGJ-8'!J27</f>
        <v>1130475.2813720703</v>
      </c>
      <c r="R50" s="27">
        <f>'WGJ-8'!K27</f>
        <v>1227582.5830078125</v>
      </c>
      <c r="S50" s="27">
        <f>'WGJ-8'!L27</f>
        <v>1170237.8125</v>
      </c>
      <c r="T50" s="27">
        <f>'WGJ-8'!M27</f>
        <v>1232718.6474609375</v>
      </c>
      <c r="U50" s="27">
        <f>'WGJ-8'!N27</f>
        <v>1196175.2587890625</v>
      </c>
      <c r="V50" s="27">
        <f>'WGJ-8'!O27</f>
        <v>1220029.1076660156</v>
      </c>
    </row>
    <row r="51" spans="1:22" ht="12.75">
      <c r="A51" s="5">
        <f>A50+1</f>
        <v>38</v>
      </c>
      <c r="B51" t="s">
        <v>54</v>
      </c>
      <c r="C51" s="13"/>
      <c r="D51" s="22">
        <v>38</v>
      </c>
      <c r="E51" s="19">
        <f>F51-D51</f>
        <v>-38</v>
      </c>
      <c r="F51" s="19">
        <v>0</v>
      </c>
      <c r="G51" s="19"/>
      <c r="H51" s="19">
        <v>78</v>
      </c>
      <c r="I51" s="19"/>
      <c r="J51" s="3">
        <f>SUM(K51:V51)/1000</f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ht="12.75">
      <c r="A52" s="5">
        <f>A51+1</f>
        <v>39</v>
      </c>
      <c r="B52" s="12" t="s">
        <v>53</v>
      </c>
      <c r="C52" s="11"/>
      <c r="D52" s="19">
        <v>16207</v>
      </c>
      <c r="E52" s="19">
        <f>F52-D52</f>
        <v>3190.0190240478514</v>
      </c>
      <c r="F52" s="95">
        <f>'WGJ-8'!C23/1000</f>
        <v>19397.01902404785</v>
      </c>
      <c r="G52" s="95"/>
      <c r="H52" s="95"/>
      <c r="I52" s="100" t="s">
        <v>149</v>
      </c>
      <c r="J52" s="3">
        <f>SUM(K52:V52)/1000</f>
        <v>19397.01902404785</v>
      </c>
      <c r="K52" s="87">
        <f>'WGJ-8'!D23</f>
        <v>1743659.6215820312</v>
      </c>
      <c r="L52" s="87">
        <f>'WGJ-8'!E23</f>
        <v>1600132.568359375</v>
      </c>
      <c r="M52" s="87">
        <f>'WGJ-8'!F23</f>
        <v>1706209.2370605469</v>
      </c>
      <c r="N52" s="87">
        <f>'WGJ-8'!G23</f>
        <v>1411375.9716796875</v>
      </c>
      <c r="O52" s="87">
        <f>'WGJ-8'!H23</f>
        <v>1193253.5675048828</v>
      </c>
      <c r="P52" s="87">
        <f>'WGJ-8'!I23</f>
        <v>1308384.8913574219</v>
      </c>
      <c r="Q52" s="87">
        <f>'WGJ-8'!J23</f>
        <v>1735416.4123535156</v>
      </c>
      <c r="R52" s="87">
        <f>'WGJ-8'!K23</f>
        <v>1771049.3835449219</v>
      </c>
      <c r="S52" s="87">
        <f>'WGJ-8'!L23</f>
        <v>1712960.6604003906</v>
      </c>
      <c r="T52" s="87">
        <f>'WGJ-8'!M23</f>
        <v>1757215.7775878906</v>
      </c>
      <c r="U52" s="87">
        <f>'WGJ-8'!N23</f>
        <v>1714427.734375</v>
      </c>
      <c r="V52" s="87">
        <f>'WGJ-8'!O23</f>
        <v>1742933.1982421875</v>
      </c>
    </row>
    <row r="53" spans="1:22" ht="12.75">
      <c r="A53" s="5">
        <f>A52+1</f>
        <v>40</v>
      </c>
      <c r="B53" s="17" t="s">
        <v>55</v>
      </c>
      <c r="C53" s="43"/>
      <c r="D53" s="44">
        <v>308</v>
      </c>
      <c r="E53" s="42">
        <f>F53-D53</f>
        <v>0</v>
      </c>
      <c r="F53" s="96">
        <v>308</v>
      </c>
      <c r="G53" s="19"/>
      <c r="H53" s="19"/>
      <c r="I53" s="19"/>
      <c r="J53" s="3">
        <f>SUM(K53:V53)/1000</f>
        <v>308</v>
      </c>
      <c r="K53" s="117">
        <f>$F53/12*1000</f>
        <v>25666.666666666668</v>
      </c>
      <c r="L53" s="117">
        <f aca="true" t="shared" si="21" ref="L53:V53">$F53/12*1000</f>
        <v>25666.666666666668</v>
      </c>
      <c r="M53" s="117">
        <f t="shared" si="21"/>
        <v>25666.666666666668</v>
      </c>
      <c r="N53" s="117">
        <f t="shared" si="21"/>
        <v>25666.666666666668</v>
      </c>
      <c r="O53" s="117">
        <f t="shared" si="21"/>
        <v>25666.666666666668</v>
      </c>
      <c r="P53" s="117">
        <f t="shared" si="21"/>
        <v>25666.666666666668</v>
      </c>
      <c r="Q53" s="117">
        <f t="shared" si="21"/>
        <v>25666.666666666668</v>
      </c>
      <c r="R53" s="117">
        <f t="shared" si="21"/>
        <v>25666.666666666668</v>
      </c>
      <c r="S53" s="117">
        <f t="shared" si="21"/>
        <v>25666.666666666668</v>
      </c>
      <c r="T53" s="117">
        <f t="shared" si="21"/>
        <v>25666.666666666668</v>
      </c>
      <c r="U53" s="117">
        <f t="shared" si="21"/>
        <v>25666.666666666668</v>
      </c>
      <c r="V53" s="117">
        <f t="shared" si="21"/>
        <v>25666.666666666668</v>
      </c>
    </row>
    <row r="54" spans="1:22" ht="12.75">
      <c r="A54" s="11">
        <f>A53+1</f>
        <v>41</v>
      </c>
      <c r="B54" t="s">
        <v>26</v>
      </c>
      <c r="D54" s="95">
        <f>SUM(D50:D53)</f>
        <v>25267</v>
      </c>
      <c r="E54" s="19">
        <f>F54-D54</f>
        <v>6264.875369644164</v>
      </c>
      <c r="F54" s="19">
        <f>SUM(F50:F53)</f>
        <v>31531.875369644164</v>
      </c>
      <c r="G54" s="19"/>
      <c r="H54" s="19">
        <v>8095.468897496661</v>
      </c>
      <c r="I54" s="19"/>
      <c r="J54" s="3">
        <f>SUM(K54:V54)/1000</f>
        <v>31531.875369644167</v>
      </c>
      <c r="K54" s="27">
        <f>SUM(K50:K53)</f>
        <v>2919308.139139811</v>
      </c>
      <c r="L54" s="27">
        <f aca="true" t="shared" si="22" ref="L54:V54">SUM(L50:L53)</f>
        <v>2730964.172770182</v>
      </c>
      <c r="M54" s="27">
        <f t="shared" si="22"/>
        <v>2936228.3397165933</v>
      </c>
      <c r="N54" s="27">
        <f t="shared" si="22"/>
        <v>2586533.577067057</v>
      </c>
      <c r="O54" s="27">
        <f t="shared" si="22"/>
        <v>1259567.7256266277</v>
      </c>
      <c r="P54" s="27">
        <f t="shared" si="22"/>
        <v>1334051.5580240886</v>
      </c>
      <c r="Q54" s="27">
        <f t="shared" si="22"/>
        <v>2891558.3603922524</v>
      </c>
      <c r="R54" s="27">
        <f t="shared" si="22"/>
        <v>3024298.633219401</v>
      </c>
      <c r="S54" s="27">
        <f t="shared" si="22"/>
        <v>2908865.139567057</v>
      </c>
      <c r="T54" s="27">
        <f t="shared" si="22"/>
        <v>3015601.0917154946</v>
      </c>
      <c r="U54" s="27">
        <f t="shared" si="22"/>
        <v>2936269.659830729</v>
      </c>
      <c r="V54" s="27">
        <f t="shared" si="22"/>
        <v>2988628.9725748696</v>
      </c>
    </row>
    <row r="55" spans="1:10" ht="12.75">
      <c r="A55" s="5"/>
      <c r="D55" s="19"/>
      <c r="E55" s="19"/>
      <c r="F55" s="19"/>
      <c r="G55" s="19"/>
      <c r="H55" s="19">
        <v>0</v>
      </c>
      <c r="I55" s="19"/>
      <c r="J55" s="3"/>
    </row>
    <row r="56" spans="1:10" ht="12.75">
      <c r="A56" s="5"/>
      <c r="B56" s="7" t="s">
        <v>57</v>
      </c>
      <c r="D56" s="19"/>
      <c r="E56" s="19"/>
      <c r="F56" s="19"/>
      <c r="G56" s="19"/>
      <c r="H56" s="19">
        <v>10682.990036010742</v>
      </c>
      <c r="I56" s="19"/>
      <c r="J56" s="3"/>
    </row>
    <row r="57" spans="1:22" ht="12.75">
      <c r="A57" s="5">
        <f>A54+1</f>
        <v>42</v>
      </c>
      <c r="B57" s="16" t="s">
        <v>69</v>
      </c>
      <c r="D57" s="95">
        <v>88084</v>
      </c>
      <c r="E57" s="19">
        <f aca="true" t="shared" si="23" ref="E57:E63">F57-D57</f>
        <v>-11555.237499181065</v>
      </c>
      <c r="F57" s="95">
        <f>'WGJ-8'!C31/1000</f>
        <v>76528.76250081894</v>
      </c>
      <c r="G57" s="95"/>
      <c r="H57" s="96">
        <v>188</v>
      </c>
      <c r="I57" s="100" t="s">
        <v>149</v>
      </c>
      <c r="J57" s="3">
        <f aca="true" t="shared" si="24" ref="J57:J63">SUM(K57:V57)/1000</f>
        <v>76528.76250081894</v>
      </c>
      <c r="K57" s="27">
        <f>'WGJ-8'!D31</f>
        <v>5935227.053085865</v>
      </c>
      <c r="L57" s="27">
        <f>'WGJ-8'!E31</f>
        <v>6673913.348957713</v>
      </c>
      <c r="M57" s="27">
        <f>'WGJ-8'!F31</f>
        <v>5812336.088209486</v>
      </c>
      <c r="N57" s="27">
        <f>'WGJ-8'!G31</f>
        <v>3352870.9889576114</v>
      </c>
      <c r="O57" s="27">
        <f>'WGJ-8'!H31</f>
        <v>2284656.2110784575</v>
      </c>
      <c r="P57" s="27">
        <f>'WGJ-8'!I31</f>
        <v>2576795.2602632535</v>
      </c>
      <c r="Q57" s="27">
        <f>'WGJ-8'!J31</f>
        <v>6748144.6482357085</v>
      </c>
      <c r="R57" s="27">
        <f>'WGJ-8'!K31</f>
        <v>9377632.557313513</v>
      </c>
      <c r="S57" s="27">
        <f>'WGJ-8'!L31</f>
        <v>8761523.200313495</v>
      </c>
      <c r="T57" s="27">
        <f>'WGJ-8'!M31</f>
        <v>7843286.628750522</v>
      </c>
      <c r="U57" s="27">
        <f>'WGJ-8'!N31</f>
        <v>9416594.444549425</v>
      </c>
      <c r="V57" s="27">
        <f>'WGJ-8'!O31</f>
        <v>7745782.071103908</v>
      </c>
    </row>
    <row r="58" spans="1:22" ht="12.75">
      <c r="A58" s="5" t="s">
        <v>240</v>
      </c>
      <c r="B58" s="16" t="s">
        <v>241</v>
      </c>
      <c r="D58" s="95">
        <v>0</v>
      </c>
      <c r="E58" s="19">
        <f t="shared" si="23"/>
        <v>-1897</v>
      </c>
      <c r="F58" s="95">
        <v>-1897</v>
      </c>
      <c r="G58" s="95"/>
      <c r="H58" s="95"/>
      <c r="I58" s="100"/>
      <c r="J58" s="144">
        <f t="shared" si="24"/>
        <v>-1897.11</v>
      </c>
      <c r="K58" s="146">
        <v>-1460565</v>
      </c>
      <c r="L58" s="146">
        <v>-1319220</v>
      </c>
      <c r="M58" s="27">
        <v>-1460565</v>
      </c>
      <c r="N58" s="27">
        <v>0</v>
      </c>
      <c r="O58" s="27">
        <v>0</v>
      </c>
      <c r="P58" s="27">
        <v>0</v>
      </c>
      <c r="Q58" s="27">
        <v>789570</v>
      </c>
      <c r="R58" s="27">
        <v>789570</v>
      </c>
      <c r="S58" s="27">
        <v>764100</v>
      </c>
      <c r="T58" s="27">
        <v>0</v>
      </c>
      <c r="U58" s="27">
        <v>0</v>
      </c>
      <c r="V58" s="27">
        <v>0</v>
      </c>
    </row>
    <row r="59" spans="1:22" ht="12.75">
      <c r="A59" s="5">
        <f>A57+1</f>
        <v>43</v>
      </c>
      <c r="B59" s="16" t="s">
        <v>128</v>
      </c>
      <c r="D59" s="95">
        <v>7729</v>
      </c>
      <c r="E59" s="19">
        <f t="shared" si="23"/>
        <v>0</v>
      </c>
      <c r="F59" s="95">
        <v>7729</v>
      </c>
      <c r="G59" s="19"/>
      <c r="H59" s="19">
        <v>18966.458933507405</v>
      </c>
      <c r="I59" s="19"/>
      <c r="J59" s="3">
        <f t="shared" si="24"/>
        <v>7728.999999999999</v>
      </c>
      <c r="K59" s="88">
        <f>$F59/12*1000</f>
        <v>644083.3333333334</v>
      </c>
      <c r="L59" s="88">
        <f aca="true" t="shared" si="25" ref="L59:V59">$F59/12*1000</f>
        <v>644083.3333333334</v>
      </c>
      <c r="M59" s="88">
        <f t="shared" si="25"/>
        <v>644083.3333333334</v>
      </c>
      <c r="N59" s="88">
        <f t="shared" si="25"/>
        <v>644083.3333333334</v>
      </c>
      <c r="O59" s="88">
        <f t="shared" si="25"/>
        <v>644083.3333333334</v>
      </c>
      <c r="P59" s="88">
        <f t="shared" si="25"/>
        <v>644083.3333333334</v>
      </c>
      <c r="Q59" s="88">
        <f t="shared" si="25"/>
        <v>644083.3333333334</v>
      </c>
      <c r="R59" s="88">
        <f t="shared" si="25"/>
        <v>644083.3333333334</v>
      </c>
      <c r="S59" s="88">
        <f t="shared" si="25"/>
        <v>644083.3333333334</v>
      </c>
      <c r="T59" s="88">
        <f t="shared" si="25"/>
        <v>644083.3333333334</v>
      </c>
      <c r="U59" s="88">
        <f t="shared" si="25"/>
        <v>644083.3333333334</v>
      </c>
      <c r="V59" s="88">
        <f t="shared" si="25"/>
        <v>644083.3333333334</v>
      </c>
    </row>
    <row r="60" spans="1:22" ht="12.75">
      <c r="A60" s="5">
        <f>A59+1</f>
        <v>44</v>
      </c>
      <c r="B60" s="12" t="s">
        <v>73</v>
      </c>
      <c r="C60" s="12"/>
      <c r="D60" s="19">
        <v>1774</v>
      </c>
      <c r="E60" s="19">
        <f t="shared" si="23"/>
        <v>-506.81563858032223</v>
      </c>
      <c r="F60" s="95">
        <f>'WGJ-8'!C43/1000</f>
        <v>1267.1843614196778</v>
      </c>
      <c r="G60" s="95"/>
      <c r="H60" s="95"/>
      <c r="I60" s="100" t="s">
        <v>149</v>
      </c>
      <c r="J60" s="3">
        <f t="shared" si="24"/>
        <v>1267.1843614196778</v>
      </c>
      <c r="K60" s="27">
        <f>'WGJ-8'!D43</f>
        <v>0</v>
      </c>
      <c r="L60" s="27">
        <f>'WGJ-8'!E43</f>
        <v>5652.1282958984375</v>
      </c>
      <c r="M60" s="27">
        <f>'WGJ-8'!F43</f>
        <v>0</v>
      </c>
      <c r="N60" s="27">
        <f>'WGJ-8'!G43</f>
        <v>4087.6991271972656</v>
      </c>
      <c r="O60" s="27">
        <f>'WGJ-8'!H43</f>
        <v>8273.386993408203</v>
      </c>
      <c r="P60" s="27">
        <f>'WGJ-8'!I43</f>
        <v>9451.753845214844</v>
      </c>
      <c r="Q60" s="27">
        <f>'WGJ-8'!J43</f>
        <v>553883.6201477051</v>
      </c>
      <c r="R60" s="27">
        <f>'WGJ-8'!K43</f>
        <v>612926.0914611816</v>
      </c>
      <c r="S60" s="27">
        <f>'WGJ-8'!L43</f>
        <v>15156.036224365234</v>
      </c>
      <c r="T60" s="27">
        <f>'WGJ-8'!M43</f>
        <v>56561.15173339844</v>
      </c>
      <c r="U60" s="27">
        <f>'WGJ-8'!N43</f>
        <v>1192.4935913085938</v>
      </c>
      <c r="V60" s="27">
        <f>'WGJ-8'!O43</f>
        <v>0</v>
      </c>
    </row>
    <row r="61" spans="1:22" ht="12.75">
      <c r="A61" s="5">
        <f>A60+1</f>
        <v>45</v>
      </c>
      <c r="B61" t="s">
        <v>72</v>
      </c>
      <c r="D61" s="19">
        <v>238</v>
      </c>
      <c r="E61" s="19">
        <f t="shared" si="23"/>
        <v>-238</v>
      </c>
      <c r="F61" s="95">
        <f>'WGJ-8'!C47/1000</f>
        <v>0</v>
      </c>
      <c r="G61" s="95"/>
      <c r="H61" s="95"/>
      <c r="I61" s="100" t="s">
        <v>149</v>
      </c>
      <c r="J61" s="3">
        <f t="shared" si="24"/>
        <v>0</v>
      </c>
      <c r="K61" s="27">
        <f>'WGJ-8'!D47</f>
        <v>0</v>
      </c>
      <c r="L61" s="27">
        <f>'WGJ-8'!E47</f>
        <v>0</v>
      </c>
      <c r="M61" s="27">
        <f>'WGJ-8'!F47</f>
        <v>0</v>
      </c>
      <c r="N61" s="27">
        <f>'WGJ-8'!G47</f>
        <v>0</v>
      </c>
      <c r="O61" s="27">
        <f>'WGJ-8'!H47</f>
        <v>0</v>
      </c>
      <c r="P61" s="27">
        <f>'WGJ-8'!I47</f>
        <v>0</v>
      </c>
      <c r="Q61" s="27">
        <f>'WGJ-8'!J47</f>
        <v>0</v>
      </c>
      <c r="R61" s="27">
        <f>'WGJ-8'!K47</f>
        <v>0</v>
      </c>
      <c r="S61" s="27">
        <f>'WGJ-8'!L47</f>
        <v>0</v>
      </c>
      <c r="T61" s="27">
        <f>'WGJ-8'!M47</f>
        <v>0</v>
      </c>
      <c r="U61" s="27">
        <f>'WGJ-8'!N47</f>
        <v>0</v>
      </c>
      <c r="V61" s="27">
        <f>'WGJ-8'!O47</f>
        <v>0</v>
      </c>
    </row>
    <row r="62" spans="1:22" ht="12.75">
      <c r="A62" s="5">
        <f>A61+1</f>
        <v>46</v>
      </c>
      <c r="B62" t="s">
        <v>70</v>
      </c>
      <c r="D62" s="19">
        <v>1811</v>
      </c>
      <c r="E62" s="19">
        <f t="shared" si="23"/>
        <v>-1309.881363037955</v>
      </c>
      <c r="F62" s="95">
        <f>'WGJ-8'!C35/1000</f>
        <v>501.118636962045</v>
      </c>
      <c r="G62" s="95"/>
      <c r="H62" s="95">
        <v>59394.36670457919</v>
      </c>
      <c r="I62" s="100" t="s">
        <v>149</v>
      </c>
      <c r="J62" s="3">
        <f t="shared" si="24"/>
        <v>501.118636962045</v>
      </c>
      <c r="K62" s="27">
        <f>'WGJ-8'!D35</f>
        <v>20862.727707326412</v>
      </c>
      <c r="L62" s="27">
        <f>'WGJ-8'!E35</f>
        <v>23816.665077209473</v>
      </c>
      <c r="M62" s="27">
        <f>'WGJ-8'!F35</f>
        <v>6723.433725237846</v>
      </c>
      <c r="N62" s="27">
        <f>'WGJ-8'!G35</f>
        <v>37813.30626428127</v>
      </c>
      <c r="O62" s="27">
        <f>'WGJ-8'!H35</f>
        <v>34942.509377002716</v>
      </c>
      <c r="P62" s="27">
        <f>'WGJ-8'!I35</f>
        <v>10953.896024823189</v>
      </c>
      <c r="Q62" s="27">
        <f>'WGJ-8'!J35</f>
        <v>106005.61158299446</v>
      </c>
      <c r="R62" s="27">
        <f>'WGJ-8'!K35</f>
        <v>154227.6506614685</v>
      </c>
      <c r="S62" s="27">
        <f>'WGJ-8'!L35</f>
        <v>90923.99454116821</v>
      </c>
      <c r="T62" s="27">
        <f>'WGJ-8'!M35</f>
        <v>6668.233835697174</v>
      </c>
      <c r="U62" s="27">
        <f>'WGJ-8'!N35</f>
        <v>5411.887163762003</v>
      </c>
      <c r="V62" s="27">
        <f>'WGJ-8'!O35</f>
        <v>2768.721001073718</v>
      </c>
    </row>
    <row r="63" spans="1:22" ht="12.75">
      <c r="A63" s="5">
        <f>A62+1</f>
        <v>47</v>
      </c>
      <c r="B63" s="113" t="s">
        <v>71</v>
      </c>
      <c r="C63" s="17"/>
      <c r="D63" s="42">
        <v>140</v>
      </c>
      <c r="E63" s="42">
        <f t="shared" si="23"/>
        <v>213.59660850960762</v>
      </c>
      <c r="F63" s="96">
        <f>'WGJ-8'!C39/1000</f>
        <v>353.5966085096076</v>
      </c>
      <c r="G63" s="95"/>
      <c r="H63" s="95">
        <v>6240</v>
      </c>
      <c r="I63" s="100" t="s">
        <v>149</v>
      </c>
      <c r="J63" s="3">
        <f t="shared" si="24"/>
        <v>353.5966085096076</v>
      </c>
      <c r="K63" s="27">
        <f>'WGJ-8'!D39</f>
        <v>15806.359155029058</v>
      </c>
      <c r="L63" s="27">
        <f>'WGJ-8'!E39</f>
        <v>14786.826781630516</v>
      </c>
      <c r="M63" s="27">
        <f>'WGJ-8'!F39</f>
        <v>9600.32406616956</v>
      </c>
      <c r="N63" s="27">
        <f>'WGJ-8'!G39</f>
        <v>19555.710961520672</v>
      </c>
      <c r="O63" s="27">
        <f>'WGJ-8'!H39</f>
        <v>19467.135058492422</v>
      </c>
      <c r="P63" s="27">
        <f>'WGJ-8'!I39</f>
        <v>9171.412949562073</v>
      </c>
      <c r="Q63" s="27">
        <f>'WGJ-8'!J39</f>
        <v>66527.5369989872</v>
      </c>
      <c r="R63" s="27">
        <f>'WGJ-8'!K39</f>
        <v>98634.48150634766</v>
      </c>
      <c r="S63" s="27">
        <f>'WGJ-8'!L39</f>
        <v>65154.278392791755</v>
      </c>
      <c r="T63" s="27">
        <f>'WGJ-8'!M39</f>
        <v>8174.559762179852</v>
      </c>
      <c r="U63" s="27">
        <f>'WGJ-8'!N39</f>
        <v>17328.080332279205</v>
      </c>
      <c r="V63" s="27">
        <f>'WGJ-8'!O39</f>
        <v>9389.902544617653</v>
      </c>
    </row>
    <row r="64" spans="1:22" ht="12.75">
      <c r="A64" s="5">
        <f>A63+1</f>
        <v>48</v>
      </c>
      <c r="B64" t="s">
        <v>50</v>
      </c>
      <c r="D64" s="95">
        <f>SUM(D57:D63)</f>
        <v>99776</v>
      </c>
      <c r="E64" s="19">
        <f>F64-D64</f>
        <v>-15293.33789228974</v>
      </c>
      <c r="F64" s="19">
        <f>SUM(F57:F63)</f>
        <v>84482.66210771026</v>
      </c>
      <c r="G64" s="19"/>
      <c r="H64" s="19">
        <v>0.11360950271288535</v>
      </c>
      <c r="I64" s="19"/>
      <c r="J64" s="3">
        <f aca="true" t="shared" si="26" ref="J64:V64">SUM(J57:J63)</f>
        <v>84482.55210771026</v>
      </c>
      <c r="K64" s="27">
        <f t="shared" si="26"/>
        <v>5155414.473281554</v>
      </c>
      <c r="L64" s="27">
        <f t="shared" si="26"/>
        <v>6043032.302445784</v>
      </c>
      <c r="M64" s="27">
        <f t="shared" si="26"/>
        <v>5012178.179334226</v>
      </c>
      <c r="N64" s="27">
        <f t="shared" si="26"/>
        <v>4058411.038643944</v>
      </c>
      <c r="O64" s="27">
        <f t="shared" si="26"/>
        <v>2991422.5758406944</v>
      </c>
      <c r="P64" s="27">
        <f t="shared" si="26"/>
        <v>3250455.656416187</v>
      </c>
      <c r="Q64" s="27">
        <f t="shared" si="26"/>
        <v>8908214.750298727</v>
      </c>
      <c r="R64" s="27">
        <f t="shared" si="26"/>
        <v>11677074.114275845</v>
      </c>
      <c r="S64" s="27">
        <f t="shared" si="26"/>
        <v>10340940.842805155</v>
      </c>
      <c r="T64" s="27">
        <f t="shared" si="26"/>
        <v>8558773.907415131</v>
      </c>
      <c r="U64" s="27">
        <f t="shared" si="26"/>
        <v>10084610.238970108</v>
      </c>
      <c r="V64" s="27">
        <f t="shared" si="26"/>
        <v>8402024.027982933</v>
      </c>
    </row>
    <row r="65" spans="1:22" ht="12.75">
      <c r="A65" s="5"/>
      <c r="D65" s="19"/>
      <c r="E65" s="19"/>
      <c r="F65" s="19"/>
      <c r="G65" s="19"/>
      <c r="H65" s="19">
        <v>3237.801052308828</v>
      </c>
      <c r="I65" s="19"/>
      <c r="J65" s="3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10" ht="12.75">
      <c r="A66" s="5"/>
      <c r="D66" s="19"/>
      <c r="E66" s="19"/>
      <c r="F66" s="19"/>
      <c r="G66" s="19"/>
      <c r="H66" s="19">
        <v>592.635823396283</v>
      </c>
      <c r="I66" s="19"/>
      <c r="J66" s="3"/>
    </row>
    <row r="67" spans="1:10" ht="12.75">
      <c r="A67" s="5"/>
      <c r="B67" s="7" t="s">
        <v>13</v>
      </c>
      <c r="D67" s="19"/>
      <c r="E67" s="19" t="s">
        <v>12</v>
      </c>
      <c r="F67" s="19"/>
      <c r="G67" s="19"/>
      <c r="H67" s="42">
        <v>480</v>
      </c>
      <c r="I67" s="19"/>
      <c r="J67" s="3"/>
    </row>
    <row r="68" spans="1:22" ht="12.75">
      <c r="A68" s="5">
        <f>A64+1</f>
        <v>49</v>
      </c>
      <c r="B68" t="s">
        <v>8</v>
      </c>
      <c r="C68" s="12"/>
      <c r="D68" s="19">
        <v>790</v>
      </c>
      <c r="E68" s="19">
        <f aca="true" t="shared" si="27" ref="E68:E79">F68-D68</f>
        <v>3</v>
      </c>
      <c r="F68" s="95">
        <v>793</v>
      </c>
      <c r="G68" s="19"/>
      <c r="H68" s="19">
        <v>70026.23275827609</v>
      </c>
      <c r="I68" s="19"/>
      <c r="J68" s="3">
        <f aca="true" t="shared" si="28" ref="J68:J80">SUM(K68:V68)/1000</f>
        <v>793.0000000000001</v>
      </c>
      <c r="K68" s="60">
        <f>$F68/12*1000</f>
        <v>66083.33333333333</v>
      </c>
      <c r="L68" s="60">
        <f aca="true" t="shared" si="29" ref="L68:V68">$F68/12*1000</f>
        <v>66083.33333333333</v>
      </c>
      <c r="M68" s="60">
        <f t="shared" si="29"/>
        <v>66083.33333333333</v>
      </c>
      <c r="N68" s="60">
        <f t="shared" si="29"/>
        <v>66083.33333333333</v>
      </c>
      <c r="O68" s="60">
        <f t="shared" si="29"/>
        <v>66083.33333333333</v>
      </c>
      <c r="P68" s="60">
        <f t="shared" si="29"/>
        <v>66083.33333333333</v>
      </c>
      <c r="Q68" s="60">
        <f t="shared" si="29"/>
        <v>66083.33333333333</v>
      </c>
      <c r="R68" s="60">
        <f t="shared" si="29"/>
        <v>66083.33333333333</v>
      </c>
      <c r="S68" s="60">
        <f t="shared" si="29"/>
        <v>66083.33333333333</v>
      </c>
      <c r="T68" s="60">
        <f t="shared" si="29"/>
        <v>66083.33333333333</v>
      </c>
      <c r="U68" s="60">
        <f t="shared" si="29"/>
        <v>66083.33333333333</v>
      </c>
      <c r="V68" s="60">
        <f t="shared" si="29"/>
        <v>66083.33333333333</v>
      </c>
    </row>
    <row r="69" spans="1:22" ht="12.75">
      <c r="A69" s="5">
        <f>A68+1</f>
        <v>50</v>
      </c>
      <c r="B69" t="s">
        <v>189</v>
      </c>
      <c r="D69" s="19">
        <v>512</v>
      </c>
      <c r="E69" s="19">
        <f t="shared" si="27"/>
        <v>-512</v>
      </c>
      <c r="F69" s="97">
        <v>0</v>
      </c>
      <c r="G69" s="129"/>
      <c r="H69" s="22"/>
      <c r="I69" s="19"/>
      <c r="J69" s="3">
        <f t="shared" si="28"/>
        <v>0</v>
      </c>
      <c r="K69" s="60">
        <f aca="true" t="shared" si="30" ref="K69:V79">$F69/12*1000</f>
        <v>0</v>
      </c>
      <c r="L69" s="60">
        <f t="shared" si="30"/>
        <v>0</v>
      </c>
      <c r="M69" s="60">
        <f t="shared" si="30"/>
        <v>0</v>
      </c>
      <c r="N69" s="60">
        <f t="shared" si="30"/>
        <v>0</v>
      </c>
      <c r="O69" s="60">
        <f t="shared" si="30"/>
        <v>0</v>
      </c>
      <c r="P69" s="60">
        <f t="shared" si="30"/>
        <v>0</v>
      </c>
      <c r="Q69" s="60">
        <f t="shared" si="30"/>
        <v>0</v>
      </c>
      <c r="R69" s="60">
        <f t="shared" si="30"/>
        <v>0</v>
      </c>
      <c r="S69" s="60">
        <f t="shared" si="30"/>
        <v>0</v>
      </c>
      <c r="T69" s="60">
        <f t="shared" si="30"/>
        <v>0</v>
      </c>
      <c r="U69" s="60">
        <f t="shared" si="30"/>
        <v>0</v>
      </c>
      <c r="V69" s="60">
        <f t="shared" si="30"/>
        <v>0</v>
      </c>
    </row>
    <row r="70" spans="1:22" ht="12.75">
      <c r="A70" s="5">
        <f>A69+1</f>
        <v>51</v>
      </c>
      <c r="B70" t="s">
        <v>223</v>
      </c>
      <c r="D70" s="19">
        <v>11</v>
      </c>
      <c r="E70" s="19">
        <f t="shared" si="27"/>
        <v>0</v>
      </c>
      <c r="F70" s="97">
        <v>11</v>
      </c>
      <c r="G70" s="129"/>
      <c r="H70" s="22"/>
      <c r="I70" s="19"/>
      <c r="J70" s="3">
        <f t="shared" si="28"/>
        <v>10.973</v>
      </c>
      <c r="K70" s="60"/>
      <c r="L70" s="60"/>
      <c r="M70" s="60"/>
      <c r="N70" s="60"/>
      <c r="O70" s="60"/>
      <c r="P70" s="60"/>
      <c r="Q70" s="60"/>
      <c r="R70" s="60"/>
      <c r="S70" s="60">
        <v>10973</v>
      </c>
      <c r="T70" s="60"/>
      <c r="U70" s="60"/>
      <c r="V70" s="60"/>
    </row>
    <row r="71" spans="1:22" ht="12.75">
      <c r="A71" s="5">
        <f>A70+1</f>
        <v>52</v>
      </c>
      <c r="B71" t="s">
        <v>30</v>
      </c>
      <c r="D71" s="19">
        <v>18</v>
      </c>
      <c r="E71" s="19">
        <f>F71-D71</f>
        <v>4</v>
      </c>
      <c r="F71" s="97">
        <v>22</v>
      </c>
      <c r="G71" s="22"/>
      <c r="H71" s="22"/>
      <c r="I71" s="22"/>
      <c r="J71" s="3">
        <f t="shared" si="28"/>
        <v>21.999999999999996</v>
      </c>
      <c r="K71" s="60">
        <f t="shared" si="30"/>
        <v>1833.3333333333333</v>
      </c>
      <c r="L71" s="60">
        <f t="shared" si="30"/>
        <v>1833.3333333333333</v>
      </c>
      <c r="M71" s="60">
        <f t="shared" si="30"/>
        <v>1833.3333333333333</v>
      </c>
      <c r="N71" s="60">
        <f t="shared" si="30"/>
        <v>1833.3333333333333</v>
      </c>
      <c r="O71" s="60">
        <f t="shared" si="30"/>
        <v>1833.3333333333333</v>
      </c>
      <c r="P71" s="60">
        <f t="shared" si="30"/>
        <v>1833.3333333333333</v>
      </c>
      <c r="Q71" s="60">
        <f t="shared" si="30"/>
        <v>1833.3333333333333</v>
      </c>
      <c r="R71" s="60">
        <f t="shared" si="30"/>
        <v>1833.3333333333333</v>
      </c>
      <c r="S71" s="60">
        <f t="shared" si="30"/>
        <v>1833.3333333333333</v>
      </c>
      <c r="T71" s="60">
        <f t="shared" si="30"/>
        <v>1833.3333333333333</v>
      </c>
      <c r="U71" s="60">
        <f t="shared" si="30"/>
        <v>1833.3333333333333</v>
      </c>
      <c r="V71" s="60">
        <f t="shared" si="30"/>
        <v>1833.3333333333333</v>
      </c>
    </row>
    <row r="72" spans="1:22" ht="12.75">
      <c r="A72" s="5">
        <f>A71+1</f>
        <v>53</v>
      </c>
      <c r="B72" t="s">
        <v>131</v>
      </c>
      <c r="D72" s="19">
        <v>1278</v>
      </c>
      <c r="E72" s="19">
        <f t="shared" si="27"/>
        <v>0</v>
      </c>
      <c r="F72" s="95">
        <v>1278</v>
      </c>
      <c r="G72" s="19"/>
      <c r="H72" s="19"/>
      <c r="I72" s="19"/>
      <c r="J72" s="3">
        <f t="shared" si="28"/>
        <v>1278</v>
      </c>
      <c r="K72" s="60">
        <f t="shared" si="30"/>
        <v>106500</v>
      </c>
      <c r="L72" s="60">
        <f t="shared" si="30"/>
        <v>106500</v>
      </c>
      <c r="M72" s="60">
        <f t="shared" si="30"/>
        <v>106500</v>
      </c>
      <c r="N72" s="60">
        <f t="shared" si="30"/>
        <v>106500</v>
      </c>
      <c r="O72" s="60">
        <f t="shared" si="30"/>
        <v>106500</v>
      </c>
      <c r="P72" s="60">
        <f t="shared" si="30"/>
        <v>106500</v>
      </c>
      <c r="Q72" s="60">
        <f t="shared" si="30"/>
        <v>106500</v>
      </c>
      <c r="R72" s="60">
        <f t="shared" si="30"/>
        <v>106500</v>
      </c>
      <c r="S72" s="60">
        <f t="shared" si="30"/>
        <v>106500</v>
      </c>
      <c r="T72" s="60">
        <f t="shared" si="30"/>
        <v>106500</v>
      </c>
      <c r="U72" s="60">
        <f t="shared" si="30"/>
        <v>106500</v>
      </c>
      <c r="V72" s="60">
        <f t="shared" si="30"/>
        <v>106500</v>
      </c>
    </row>
    <row r="73" spans="1:22" ht="12.75">
      <c r="A73" s="5">
        <f aca="true" t="shared" si="31" ref="A73:A80">A72+1</f>
        <v>54</v>
      </c>
      <c r="B73" t="s">
        <v>107</v>
      </c>
      <c r="D73" s="19">
        <v>7822</v>
      </c>
      <c r="E73" s="19">
        <f t="shared" si="27"/>
        <v>653</v>
      </c>
      <c r="F73" s="95">
        <v>8475</v>
      </c>
      <c r="G73" s="95"/>
      <c r="H73" s="95">
        <v>772</v>
      </c>
      <c r="I73" s="98" t="s">
        <v>147</v>
      </c>
      <c r="J73" s="3">
        <f t="shared" si="28"/>
        <v>8475</v>
      </c>
      <c r="K73" s="60">
        <f t="shared" si="30"/>
        <v>706250</v>
      </c>
      <c r="L73" s="60">
        <f t="shared" si="30"/>
        <v>706250</v>
      </c>
      <c r="M73" s="60">
        <f t="shared" si="30"/>
        <v>706250</v>
      </c>
      <c r="N73" s="60">
        <f t="shared" si="30"/>
        <v>706250</v>
      </c>
      <c r="O73" s="60">
        <f t="shared" si="30"/>
        <v>706250</v>
      </c>
      <c r="P73" s="60">
        <f t="shared" si="30"/>
        <v>706250</v>
      </c>
      <c r="Q73" s="60">
        <f t="shared" si="30"/>
        <v>706250</v>
      </c>
      <c r="R73" s="60">
        <f t="shared" si="30"/>
        <v>706250</v>
      </c>
      <c r="S73" s="60">
        <f t="shared" si="30"/>
        <v>706250</v>
      </c>
      <c r="T73" s="60">
        <f t="shared" si="30"/>
        <v>706250</v>
      </c>
      <c r="U73" s="60">
        <f t="shared" si="30"/>
        <v>706250</v>
      </c>
      <c r="V73" s="60">
        <f t="shared" si="30"/>
        <v>706250</v>
      </c>
    </row>
    <row r="74" spans="1:22" ht="12.75">
      <c r="A74" s="5">
        <f t="shared" si="31"/>
        <v>55</v>
      </c>
      <c r="B74" t="s">
        <v>28</v>
      </c>
      <c r="D74" s="19">
        <v>1173</v>
      </c>
      <c r="E74" s="19">
        <f t="shared" si="27"/>
        <v>0</v>
      </c>
      <c r="F74" s="19">
        <v>1173</v>
      </c>
      <c r="G74" s="19"/>
      <c r="H74" s="19">
        <v>49</v>
      </c>
      <c r="I74" s="19"/>
      <c r="J74" s="3">
        <f t="shared" si="28"/>
        <v>1173</v>
      </c>
      <c r="K74" s="60">
        <f t="shared" si="30"/>
        <v>97750</v>
      </c>
      <c r="L74" s="60">
        <f t="shared" si="30"/>
        <v>97750</v>
      </c>
      <c r="M74" s="60">
        <f t="shared" si="30"/>
        <v>97750</v>
      </c>
      <c r="N74" s="60">
        <f t="shared" si="30"/>
        <v>97750</v>
      </c>
      <c r="O74" s="60">
        <f t="shared" si="30"/>
        <v>97750</v>
      </c>
      <c r="P74" s="60">
        <f t="shared" si="30"/>
        <v>97750</v>
      </c>
      <c r="Q74" s="60">
        <f t="shared" si="30"/>
        <v>97750</v>
      </c>
      <c r="R74" s="60">
        <f t="shared" si="30"/>
        <v>97750</v>
      </c>
      <c r="S74" s="60">
        <f t="shared" si="30"/>
        <v>97750</v>
      </c>
      <c r="T74" s="60">
        <f t="shared" si="30"/>
        <v>97750</v>
      </c>
      <c r="U74" s="60">
        <f t="shared" si="30"/>
        <v>97750</v>
      </c>
      <c r="V74" s="60">
        <f t="shared" si="30"/>
        <v>97750</v>
      </c>
    </row>
    <row r="75" spans="1:22" ht="12.75">
      <c r="A75" s="5">
        <f t="shared" si="31"/>
        <v>56</v>
      </c>
      <c r="B75" t="s">
        <v>108</v>
      </c>
      <c r="D75" s="19">
        <v>1098</v>
      </c>
      <c r="E75" s="19">
        <f t="shared" si="27"/>
        <v>237</v>
      </c>
      <c r="F75" s="95">
        <v>1335</v>
      </c>
      <c r="G75" s="100" t="s">
        <v>222</v>
      </c>
      <c r="H75" s="19">
        <v>348</v>
      </c>
      <c r="I75" s="19"/>
      <c r="J75" s="3">
        <f t="shared" si="28"/>
        <v>1335</v>
      </c>
      <c r="K75" s="60">
        <f t="shared" si="30"/>
        <v>111250</v>
      </c>
      <c r="L75" s="60">
        <f t="shared" si="30"/>
        <v>111250</v>
      </c>
      <c r="M75" s="60">
        <f t="shared" si="30"/>
        <v>111250</v>
      </c>
      <c r="N75" s="60">
        <f t="shared" si="30"/>
        <v>111250</v>
      </c>
      <c r="O75" s="60">
        <f t="shared" si="30"/>
        <v>111250</v>
      </c>
      <c r="P75" s="60">
        <f t="shared" si="30"/>
        <v>111250</v>
      </c>
      <c r="Q75" s="60">
        <f t="shared" si="30"/>
        <v>111250</v>
      </c>
      <c r="R75" s="60">
        <f t="shared" si="30"/>
        <v>111250</v>
      </c>
      <c r="S75" s="60">
        <f t="shared" si="30"/>
        <v>111250</v>
      </c>
      <c r="T75" s="60">
        <f t="shared" si="30"/>
        <v>111250</v>
      </c>
      <c r="U75" s="60">
        <f t="shared" si="30"/>
        <v>111250</v>
      </c>
      <c r="V75" s="60">
        <f t="shared" si="30"/>
        <v>111250</v>
      </c>
    </row>
    <row r="76" spans="1:22" ht="12.75">
      <c r="A76" s="5">
        <f t="shared" si="31"/>
        <v>57</v>
      </c>
      <c r="B76" t="s">
        <v>106</v>
      </c>
      <c r="D76" s="19">
        <v>32</v>
      </c>
      <c r="E76" s="19">
        <f t="shared" si="27"/>
        <v>48</v>
      </c>
      <c r="F76" s="19">
        <v>80</v>
      </c>
      <c r="G76" s="19"/>
      <c r="H76" s="19">
        <v>8315</v>
      </c>
      <c r="I76" s="19"/>
      <c r="J76" s="3">
        <f t="shared" si="28"/>
        <v>80</v>
      </c>
      <c r="K76" s="60">
        <f t="shared" si="30"/>
        <v>6666.666666666667</v>
      </c>
      <c r="L76" s="60">
        <f t="shared" si="30"/>
        <v>6666.666666666667</v>
      </c>
      <c r="M76" s="60">
        <f t="shared" si="30"/>
        <v>6666.666666666667</v>
      </c>
      <c r="N76" s="60">
        <f t="shared" si="30"/>
        <v>6666.666666666667</v>
      </c>
      <c r="O76" s="60">
        <f t="shared" si="30"/>
        <v>6666.666666666667</v>
      </c>
      <c r="P76" s="60">
        <f t="shared" si="30"/>
        <v>6666.666666666667</v>
      </c>
      <c r="Q76" s="60">
        <f t="shared" si="30"/>
        <v>6666.666666666667</v>
      </c>
      <c r="R76" s="60">
        <f t="shared" si="30"/>
        <v>6666.666666666667</v>
      </c>
      <c r="S76" s="60">
        <f t="shared" si="30"/>
        <v>6666.666666666667</v>
      </c>
      <c r="T76" s="60">
        <f t="shared" si="30"/>
        <v>6666.666666666667</v>
      </c>
      <c r="U76" s="60">
        <f t="shared" si="30"/>
        <v>6666.666666666667</v>
      </c>
      <c r="V76" s="60">
        <f t="shared" si="30"/>
        <v>6666.666666666667</v>
      </c>
    </row>
    <row r="77" spans="1:22" ht="12.75">
      <c r="A77" s="5">
        <f t="shared" si="31"/>
        <v>58</v>
      </c>
      <c r="B77" t="s">
        <v>153</v>
      </c>
      <c r="D77" s="19">
        <v>89</v>
      </c>
      <c r="E77" s="19">
        <f t="shared" si="27"/>
        <v>45</v>
      </c>
      <c r="F77" s="19">
        <v>134</v>
      </c>
      <c r="G77" s="19"/>
      <c r="H77" s="19">
        <v>1245</v>
      </c>
      <c r="I77" s="19"/>
      <c r="J77" s="3">
        <f t="shared" si="28"/>
        <v>134.00000000000003</v>
      </c>
      <c r="K77" s="60">
        <f t="shared" si="30"/>
        <v>11166.666666666666</v>
      </c>
      <c r="L77" s="60">
        <f t="shared" si="30"/>
        <v>11166.666666666666</v>
      </c>
      <c r="M77" s="60">
        <f t="shared" si="30"/>
        <v>11166.666666666666</v>
      </c>
      <c r="N77" s="60">
        <f t="shared" si="30"/>
        <v>11166.666666666666</v>
      </c>
      <c r="O77" s="60">
        <f t="shared" si="30"/>
        <v>11166.666666666666</v>
      </c>
      <c r="P77" s="60">
        <f t="shared" si="30"/>
        <v>11166.666666666666</v>
      </c>
      <c r="Q77" s="60">
        <f t="shared" si="30"/>
        <v>11166.666666666666</v>
      </c>
      <c r="R77" s="60">
        <f t="shared" si="30"/>
        <v>11166.666666666666</v>
      </c>
      <c r="S77" s="60">
        <f t="shared" si="30"/>
        <v>11166.666666666666</v>
      </c>
      <c r="T77" s="60">
        <f t="shared" si="30"/>
        <v>11166.666666666666</v>
      </c>
      <c r="U77" s="60">
        <f t="shared" si="30"/>
        <v>11166.666666666666</v>
      </c>
      <c r="V77" s="60">
        <f t="shared" si="30"/>
        <v>11166.666666666666</v>
      </c>
    </row>
    <row r="78" spans="1:22" ht="12.75">
      <c r="A78" s="5">
        <f t="shared" si="31"/>
        <v>59</v>
      </c>
      <c r="B78" t="s">
        <v>14</v>
      </c>
      <c r="C78" s="12"/>
      <c r="D78" s="19">
        <v>388</v>
      </c>
      <c r="E78" s="19">
        <f t="shared" si="27"/>
        <v>0</v>
      </c>
      <c r="F78" s="95">
        <v>388</v>
      </c>
      <c r="G78" s="19"/>
      <c r="H78" s="19">
        <v>1689</v>
      </c>
      <c r="I78" s="19"/>
      <c r="J78" s="3">
        <f t="shared" si="28"/>
        <v>388</v>
      </c>
      <c r="K78" s="60">
        <f t="shared" si="30"/>
        <v>32333.333333333336</v>
      </c>
      <c r="L78" s="60">
        <f t="shared" si="30"/>
        <v>32333.333333333336</v>
      </c>
      <c r="M78" s="60">
        <f t="shared" si="30"/>
        <v>32333.333333333336</v>
      </c>
      <c r="N78" s="60">
        <f t="shared" si="30"/>
        <v>32333.333333333336</v>
      </c>
      <c r="O78" s="60">
        <f t="shared" si="30"/>
        <v>32333.333333333336</v>
      </c>
      <c r="P78" s="60">
        <f t="shared" si="30"/>
        <v>32333.333333333336</v>
      </c>
      <c r="Q78" s="60">
        <f t="shared" si="30"/>
        <v>32333.333333333336</v>
      </c>
      <c r="R78" s="60">
        <f t="shared" si="30"/>
        <v>32333.333333333336</v>
      </c>
      <c r="S78" s="60">
        <f t="shared" si="30"/>
        <v>32333.333333333336</v>
      </c>
      <c r="T78" s="60">
        <f t="shared" si="30"/>
        <v>32333.333333333336</v>
      </c>
      <c r="U78" s="60">
        <f t="shared" si="30"/>
        <v>32333.333333333336</v>
      </c>
      <c r="V78" s="60">
        <f t="shared" si="30"/>
        <v>32333.333333333336</v>
      </c>
    </row>
    <row r="79" spans="1:22" ht="12.75">
      <c r="A79" s="5">
        <f t="shared" si="31"/>
        <v>60</v>
      </c>
      <c r="B79" s="17" t="s">
        <v>34</v>
      </c>
      <c r="C79" s="17"/>
      <c r="D79" s="42">
        <v>643</v>
      </c>
      <c r="E79" s="42">
        <f t="shared" si="27"/>
        <v>0</v>
      </c>
      <c r="F79" s="96">
        <v>643</v>
      </c>
      <c r="G79" s="19"/>
      <c r="H79" s="19">
        <v>32.112</v>
      </c>
      <c r="I79" s="19"/>
      <c r="J79" s="91">
        <f t="shared" si="28"/>
        <v>643</v>
      </c>
      <c r="K79" s="112">
        <f t="shared" si="30"/>
        <v>53583.333333333336</v>
      </c>
      <c r="L79" s="112">
        <f t="shared" si="30"/>
        <v>53583.333333333336</v>
      </c>
      <c r="M79" s="112">
        <f t="shared" si="30"/>
        <v>53583.333333333336</v>
      </c>
      <c r="N79" s="112">
        <f t="shared" si="30"/>
        <v>53583.333333333336</v>
      </c>
      <c r="O79" s="112">
        <f t="shared" si="30"/>
        <v>53583.333333333336</v>
      </c>
      <c r="P79" s="112">
        <f t="shared" si="30"/>
        <v>53583.333333333336</v>
      </c>
      <c r="Q79" s="112">
        <f t="shared" si="30"/>
        <v>53583.333333333336</v>
      </c>
      <c r="R79" s="112">
        <f t="shared" si="30"/>
        <v>53583.333333333336</v>
      </c>
      <c r="S79" s="112">
        <f t="shared" si="30"/>
        <v>53583.333333333336</v>
      </c>
      <c r="T79" s="112">
        <f t="shared" si="30"/>
        <v>53583.333333333336</v>
      </c>
      <c r="U79" s="112">
        <f t="shared" si="30"/>
        <v>53583.333333333336</v>
      </c>
      <c r="V79" s="112">
        <f t="shared" si="30"/>
        <v>53583.333333333336</v>
      </c>
    </row>
    <row r="80" spans="1:22" ht="12.75">
      <c r="A80" s="5">
        <f t="shared" si="31"/>
        <v>61</v>
      </c>
      <c r="B80" t="s">
        <v>15</v>
      </c>
      <c r="D80" s="95">
        <f>SUM(D68:D79)</f>
        <v>13854</v>
      </c>
      <c r="E80" s="19">
        <f>F80-D80</f>
        <v>478</v>
      </c>
      <c r="F80" s="19">
        <f>SUM(F68:F79)</f>
        <v>14332</v>
      </c>
      <c r="G80" s="19"/>
      <c r="H80" s="19">
        <v>214</v>
      </c>
      <c r="I80" s="19"/>
      <c r="J80" s="3">
        <f t="shared" si="28"/>
        <v>14331.972999999994</v>
      </c>
      <c r="K80" s="27">
        <f aca="true" t="shared" si="32" ref="K80:V80">SUM(K68:K79)</f>
        <v>1193416.6666666665</v>
      </c>
      <c r="L80" s="27">
        <f t="shared" si="32"/>
        <v>1193416.6666666665</v>
      </c>
      <c r="M80" s="27">
        <f t="shared" si="32"/>
        <v>1193416.6666666665</v>
      </c>
      <c r="N80" s="27">
        <f t="shared" si="32"/>
        <v>1193416.6666666665</v>
      </c>
      <c r="O80" s="27">
        <f t="shared" si="32"/>
        <v>1193416.6666666665</v>
      </c>
      <c r="P80" s="27">
        <f t="shared" si="32"/>
        <v>1193416.6666666665</v>
      </c>
      <c r="Q80" s="27">
        <f t="shared" si="32"/>
        <v>1193416.6666666665</v>
      </c>
      <c r="R80" s="27">
        <f t="shared" si="32"/>
        <v>1193416.6666666665</v>
      </c>
      <c r="S80" s="27">
        <f t="shared" si="32"/>
        <v>1204389.6666666665</v>
      </c>
      <c r="T80" s="27">
        <f t="shared" si="32"/>
        <v>1193416.6666666665</v>
      </c>
      <c r="U80" s="27">
        <f t="shared" si="32"/>
        <v>1193416.6666666665</v>
      </c>
      <c r="V80" s="27">
        <f t="shared" si="32"/>
        <v>1193416.6666666665</v>
      </c>
    </row>
    <row r="81" spans="1:10" ht="12.75" customHeight="1">
      <c r="A81" s="5"/>
      <c r="D81" s="19"/>
      <c r="E81" s="19"/>
      <c r="F81" s="19"/>
      <c r="G81" s="19"/>
      <c r="H81" s="42">
        <v>643</v>
      </c>
      <c r="I81" s="19"/>
      <c r="J81" s="3"/>
    </row>
    <row r="82" spans="1:10" ht="12" customHeight="1">
      <c r="A82" s="5"/>
      <c r="B82" s="7" t="s">
        <v>18</v>
      </c>
      <c r="D82" s="19"/>
      <c r="E82" s="19"/>
      <c r="F82" s="19"/>
      <c r="G82" s="19"/>
      <c r="H82" s="19">
        <v>13307.112</v>
      </c>
      <c r="I82" s="19"/>
      <c r="J82" s="3"/>
    </row>
    <row r="83" spans="1:10" ht="12" customHeight="1">
      <c r="A83" s="5">
        <f>A80+1</f>
        <v>62</v>
      </c>
      <c r="B83" t="s">
        <v>117</v>
      </c>
      <c r="D83" s="95">
        <v>651</v>
      </c>
      <c r="E83" s="95">
        <f>F83-D83</f>
        <v>8</v>
      </c>
      <c r="F83" s="95">
        <v>659</v>
      </c>
      <c r="G83" s="95"/>
      <c r="H83" s="95"/>
      <c r="I83" s="19"/>
      <c r="J83" s="3"/>
    </row>
    <row r="84" spans="1:10" ht="12" customHeight="1">
      <c r="A84" s="5"/>
      <c r="D84" s="19"/>
      <c r="E84" s="19"/>
      <c r="F84" s="19"/>
      <c r="G84" s="19"/>
      <c r="H84" s="19"/>
      <c r="I84" s="19"/>
      <c r="J84" s="3"/>
    </row>
    <row r="85" spans="1:10" ht="12" customHeight="1">
      <c r="A85" s="5"/>
      <c r="B85" s="7" t="s">
        <v>58</v>
      </c>
      <c r="D85" s="19"/>
      <c r="E85" s="19"/>
      <c r="F85" s="19"/>
      <c r="G85" s="19"/>
      <c r="H85" s="19">
        <v>6729</v>
      </c>
      <c r="I85" s="19"/>
      <c r="J85" s="3"/>
    </row>
    <row r="86" spans="1:10" ht="12" customHeight="1">
      <c r="A86" s="5">
        <f>A83+1</f>
        <v>63</v>
      </c>
      <c r="B86" t="s">
        <v>51</v>
      </c>
      <c r="D86" s="95">
        <v>155</v>
      </c>
      <c r="E86" s="95">
        <f>F86-D86</f>
        <v>5</v>
      </c>
      <c r="F86" s="95">
        <v>160</v>
      </c>
      <c r="G86" s="95"/>
      <c r="H86" s="95"/>
      <c r="I86" s="19"/>
      <c r="J86" s="3"/>
    </row>
    <row r="87" spans="1:10" ht="12" customHeight="1">
      <c r="A87" s="5"/>
      <c r="D87" s="19"/>
      <c r="E87" s="19"/>
      <c r="F87" s="19"/>
      <c r="G87" s="19"/>
      <c r="H87" s="19"/>
      <c r="I87" s="19"/>
      <c r="J87" s="3"/>
    </row>
    <row r="88" spans="1:10" ht="12" customHeight="1">
      <c r="A88" s="5">
        <f>A86+1</f>
        <v>64</v>
      </c>
      <c r="B88" s="45" t="s">
        <v>19</v>
      </c>
      <c r="C88" s="38"/>
      <c r="D88" s="46">
        <f>D40+D47+D54+D64+D80+D83+D86</f>
        <v>347782</v>
      </c>
      <c r="E88" s="46">
        <f>F88-D88</f>
        <v>-29259.441454182088</v>
      </c>
      <c r="F88" s="47">
        <f>F40+F47+F54+F64+F80+F83+F86</f>
        <v>318522.5585458179</v>
      </c>
      <c r="G88" s="19"/>
      <c r="H88" s="19">
        <v>133</v>
      </c>
      <c r="I88" s="19"/>
      <c r="J88" s="3"/>
    </row>
    <row r="89" spans="1:10" ht="12" customHeight="1">
      <c r="A89" s="5"/>
      <c r="B89" s="2"/>
      <c r="D89" s="19"/>
      <c r="E89" s="19"/>
      <c r="F89" s="19"/>
      <c r="G89" s="19"/>
      <c r="H89" s="42"/>
      <c r="I89" s="19"/>
      <c r="J89" s="3"/>
    </row>
    <row r="90" spans="1:22" ht="12" customHeight="1">
      <c r="A90" s="5"/>
      <c r="B90" s="7" t="s">
        <v>20</v>
      </c>
      <c r="D90" s="19"/>
      <c r="E90" s="19"/>
      <c r="F90" s="19"/>
      <c r="G90" s="19"/>
      <c r="H90" s="46">
        <v>188457.26014905036</v>
      </c>
      <c r="I90" s="19"/>
      <c r="J90" s="3"/>
      <c r="K90" s="51">
        <v>36525</v>
      </c>
      <c r="L90" s="51">
        <v>36556</v>
      </c>
      <c r="M90" s="51">
        <v>36585</v>
      </c>
      <c r="N90" s="51">
        <v>36616</v>
      </c>
      <c r="O90" s="51">
        <v>36646</v>
      </c>
      <c r="P90" s="51">
        <v>36677</v>
      </c>
      <c r="Q90" s="51">
        <v>36707</v>
      </c>
      <c r="R90" s="51">
        <v>36738</v>
      </c>
      <c r="S90" s="51">
        <v>36769</v>
      </c>
      <c r="T90" s="51">
        <v>36799</v>
      </c>
      <c r="U90" s="51">
        <v>36830</v>
      </c>
      <c r="V90" s="51">
        <v>36860</v>
      </c>
    </row>
    <row r="91" spans="1:22" ht="12.75" customHeight="1">
      <c r="A91" s="5">
        <f>A88+1</f>
        <v>65</v>
      </c>
      <c r="B91" t="s">
        <v>226</v>
      </c>
      <c r="D91" s="19">
        <v>0</v>
      </c>
      <c r="E91" s="19">
        <f aca="true" t="shared" si="33" ref="E91:E102">F91-D91</f>
        <v>47953.47402984619</v>
      </c>
      <c r="F91" s="19">
        <f>-'WGJ-8'!C9/1000</f>
        <v>47953.47402984619</v>
      </c>
      <c r="G91" s="19"/>
      <c r="H91" s="19"/>
      <c r="I91" s="18"/>
      <c r="J91" s="3">
        <f>SUM(K91:V91)/1000</f>
        <v>47953.47402984619</v>
      </c>
      <c r="K91" s="27">
        <f>-'WGJ-8'!D9</f>
        <v>392108.94592285156</v>
      </c>
      <c r="L91" s="27">
        <f>-'WGJ-8'!E9</f>
        <v>769144.4920349121</v>
      </c>
      <c r="M91" s="27">
        <f>-'WGJ-8'!F9</f>
        <v>1197272.42477417</v>
      </c>
      <c r="N91" s="27">
        <f>-'WGJ-8'!G9</f>
        <v>6476110.4638671875</v>
      </c>
      <c r="O91" s="27">
        <f>-'WGJ-8'!H9</f>
        <v>9982010.766601562</v>
      </c>
      <c r="P91" s="27">
        <f>-'WGJ-8'!I9</f>
        <v>8376891.673583984</v>
      </c>
      <c r="Q91" s="27">
        <f>-'WGJ-8'!J9</f>
        <v>7217985.52734375</v>
      </c>
      <c r="R91" s="27">
        <f>-'WGJ-8'!K9</f>
        <v>2850077.947998047</v>
      </c>
      <c r="S91" s="27">
        <f>-'WGJ-8'!L9</f>
        <v>2434344.8822021484</v>
      </c>
      <c r="T91" s="27">
        <f>-'WGJ-8'!M9</f>
        <v>2087178.0249023435</v>
      </c>
      <c r="U91" s="27">
        <f>-'WGJ-8'!N9</f>
        <v>3673973.9965820312</v>
      </c>
      <c r="V91" s="27">
        <f>-'WGJ-8'!O9</f>
        <v>2496374.884033203</v>
      </c>
    </row>
    <row r="92" spans="1:22" ht="12.75" customHeight="1">
      <c r="A92" s="5">
        <f aca="true" t="shared" si="34" ref="A92:A98">A91+1</f>
        <v>66</v>
      </c>
      <c r="B92" t="s">
        <v>231</v>
      </c>
      <c r="D92" s="19">
        <v>87895</v>
      </c>
      <c r="E92" s="19">
        <f t="shared" si="33"/>
        <v>-35821</v>
      </c>
      <c r="F92" s="19">
        <v>52074</v>
      </c>
      <c r="G92" s="19"/>
      <c r="H92" s="19"/>
      <c r="I92" s="18"/>
      <c r="J92" s="144">
        <f>SUM(K92:V92)/1000</f>
        <v>52074.47875</v>
      </c>
      <c r="K92" s="146">
        <v>13304090</v>
      </c>
      <c r="L92" s="27">
        <v>12036840</v>
      </c>
      <c r="M92" s="27">
        <v>13287578.75</v>
      </c>
      <c r="N92" s="27">
        <v>1740810</v>
      </c>
      <c r="O92" s="27">
        <v>1766000</v>
      </c>
      <c r="P92" s="27">
        <v>1742560</v>
      </c>
      <c r="Q92" s="27">
        <v>2764800</v>
      </c>
      <c r="R92" s="27">
        <v>2764800</v>
      </c>
      <c r="S92" s="27">
        <v>2667000</v>
      </c>
      <c r="T92" s="27">
        <v>0</v>
      </c>
      <c r="U92" s="27">
        <v>0</v>
      </c>
      <c r="V92" s="27">
        <v>0</v>
      </c>
    </row>
    <row r="93" spans="1:22" ht="12.75" customHeight="1">
      <c r="A93" s="5" t="s">
        <v>248</v>
      </c>
      <c r="B93" t="s">
        <v>247</v>
      </c>
      <c r="D93" s="19">
        <v>0</v>
      </c>
      <c r="E93" s="19">
        <f t="shared" si="33"/>
        <v>-46</v>
      </c>
      <c r="F93" s="19">
        <v>-46</v>
      </c>
      <c r="G93" s="19"/>
      <c r="H93" s="19"/>
      <c r="I93" s="18"/>
      <c r="J93" s="144">
        <f>SUM(K93:V93)/1000</f>
        <v>-46.2</v>
      </c>
      <c r="K93" s="146"/>
      <c r="L93" s="27"/>
      <c r="M93" s="27"/>
      <c r="N93" s="27">
        <v>-15600</v>
      </c>
      <c r="O93" s="27">
        <v>-15000</v>
      </c>
      <c r="P93" s="27">
        <v>-15600</v>
      </c>
      <c r="Q93" s="27"/>
      <c r="R93" s="27"/>
      <c r="S93" s="27"/>
      <c r="T93" s="27"/>
      <c r="U93" s="27"/>
      <c r="V93" s="27"/>
    </row>
    <row r="94" spans="1:22" ht="12.75">
      <c r="A94" s="5">
        <f>A92+1</f>
        <v>67</v>
      </c>
      <c r="B94" s="6" t="s">
        <v>130</v>
      </c>
      <c r="D94" s="19">
        <v>1800</v>
      </c>
      <c r="E94" s="19">
        <f t="shared" si="33"/>
        <v>0</v>
      </c>
      <c r="F94" s="19">
        <v>1800</v>
      </c>
      <c r="G94" s="19"/>
      <c r="H94" s="19"/>
      <c r="I94" s="19"/>
      <c r="J94" s="3">
        <f aca="true" t="shared" si="35" ref="J94:J103">SUM(K94:V94)/1000</f>
        <v>1800</v>
      </c>
      <c r="K94" s="27">
        <f aca="true" t="shared" si="36" ref="K94:K102">$F94/12*1000</f>
        <v>150000</v>
      </c>
      <c r="L94" s="27">
        <f aca="true" t="shared" si="37" ref="L94:V94">$F94/12*1000</f>
        <v>150000</v>
      </c>
      <c r="M94" s="27">
        <f t="shared" si="37"/>
        <v>150000</v>
      </c>
      <c r="N94" s="27">
        <f t="shared" si="37"/>
        <v>150000</v>
      </c>
      <c r="O94" s="27">
        <f t="shared" si="37"/>
        <v>150000</v>
      </c>
      <c r="P94" s="27">
        <f t="shared" si="37"/>
        <v>150000</v>
      </c>
      <c r="Q94" s="27">
        <f t="shared" si="37"/>
        <v>150000</v>
      </c>
      <c r="R94" s="27">
        <f t="shared" si="37"/>
        <v>150000</v>
      </c>
      <c r="S94" s="27">
        <f t="shared" si="37"/>
        <v>150000</v>
      </c>
      <c r="T94" s="27">
        <f t="shared" si="37"/>
        <v>150000</v>
      </c>
      <c r="U94" s="27">
        <f t="shared" si="37"/>
        <v>150000</v>
      </c>
      <c r="V94" s="27">
        <f t="shared" si="37"/>
        <v>150000</v>
      </c>
    </row>
    <row r="95" spans="1:22" ht="12.75">
      <c r="A95" s="5">
        <f t="shared" si="34"/>
        <v>68</v>
      </c>
      <c r="B95" t="s">
        <v>35</v>
      </c>
      <c r="D95" s="20">
        <v>2900</v>
      </c>
      <c r="E95" s="19">
        <f t="shared" si="33"/>
        <v>1327.1881558424766</v>
      </c>
      <c r="F95" s="95">
        <f>Index!C14/1000</f>
        <v>4227.188155842477</v>
      </c>
      <c r="G95" s="103" t="s">
        <v>148</v>
      </c>
      <c r="H95" s="103">
        <v>1800</v>
      </c>
      <c r="I95" s="99" t="s">
        <v>148</v>
      </c>
      <c r="J95" s="3">
        <f t="shared" si="35"/>
        <v>4227.188155842477</v>
      </c>
      <c r="K95" s="27">
        <f>Index!D14</f>
        <v>383757.28938514704</v>
      </c>
      <c r="L95" s="27">
        <f>Index!E14</f>
        <v>375241.3977282715</v>
      </c>
      <c r="M95" s="27">
        <f>Index!F14</f>
        <v>386813.4642656708</v>
      </c>
      <c r="N95" s="27">
        <f>Index!G14</f>
        <v>310547.7534347534</v>
      </c>
      <c r="O95" s="27">
        <f>Index!H14</f>
        <v>286141.4465711975</v>
      </c>
      <c r="P95" s="27">
        <f>Index!I14</f>
        <v>240143.25197467807</v>
      </c>
      <c r="Q95" s="27">
        <f>Index!J14</f>
        <v>355359.4336470795</v>
      </c>
      <c r="R95" s="27">
        <f>Index!K14</f>
        <v>401248.8895481873</v>
      </c>
      <c r="S95" s="27">
        <f>Index!L14</f>
        <v>366693.9214416504</v>
      </c>
      <c r="T95" s="27">
        <f>Index!M14</f>
        <v>358942.17504272464</v>
      </c>
      <c r="U95" s="27">
        <f>Index!N14</f>
        <v>378631.77528076177</v>
      </c>
      <c r="V95" s="27">
        <f>Index!O14</f>
        <v>383667.35752235417</v>
      </c>
    </row>
    <row r="96" spans="1:22" ht="12.75">
      <c r="A96" s="5">
        <f t="shared" si="34"/>
        <v>69</v>
      </c>
      <c r="B96" t="s">
        <v>142</v>
      </c>
      <c r="D96" s="20">
        <v>536</v>
      </c>
      <c r="E96" s="19">
        <f t="shared" si="33"/>
        <v>-475</v>
      </c>
      <c r="F96" s="19">
        <v>61</v>
      </c>
      <c r="G96" s="20"/>
      <c r="H96" s="20">
        <v>-63</v>
      </c>
      <c r="J96" s="3">
        <f t="shared" si="35"/>
        <v>61.00000000000001</v>
      </c>
      <c r="K96" s="27">
        <f t="shared" si="36"/>
        <v>5083.333333333333</v>
      </c>
      <c r="L96" s="27">
        <f aca="true" t="shared" si="38" ref="L96:V102">$F96/12*1000</f>
        <v>5083.333333333333</v>
      </c>
      <c r="M96" s="27">
        <f t="shared" si="38"/>
        <v>5083.333333333333</v>
      </c>
      <c r="N96" s="27">
        <f t="shared" si="38"/>
        <v>5083.333333333333</v>
      </c>
      <c r="O96" s="27">
        <f t="shared" si="38"/>
        <v>5083.333333333333</v>
      </c>
      <c r="P96" s="27">
        <f t="shared" si="38"/>
        <v>5083.333333333333</v>
      </c>
      <c r="Q96" s="27">
        <f t="shared" si="38"/>
        <v>5083.333333333333</v>
      </c>
      <c r="R96" s="27">
        <f t="shared" si="38"/>
        <v>5083.333333333333</v>
      </c>
      <c r="S96" s="27">
        <f t="shared" si="38"/>
        <v>5083.333333333333</v>
      </c>
      <c r="T96" s="27">
        <f t="shared" si="38"/>
        <v>5083.333333333333</v>
      </c>
      <c r="U96" s="27">
        <f t="shared" si="38"/>
        <v>5083.333333333333</v>
      </c>
      <c r="V96" s="27">
        <f t="shared" si="38"/>
        <v>5083.333333333333</v>
      </c>
    </row>
    <row r="97" spans="1:22" ht="12.75">
      <c r="A97" s="5">
        <f t="shared" si="34"/>
        <v>70</v>
      </c>
      <c r="B97" t="s">
        <v>36</v>
      </c>
      <c r="D97" s="20">
        <v>709</v>
      </c>
      <c r="E97" s="19">
        <f t="shared" si="33"/>
        <v>-319</v>
      </c>
      <c r="F97" s="19">
        <v>390</v>
      </c>
      <c r="G97" s="83"/>
      <c r="H97" s="83">
        <v>272</v>
      </c>
      <c r="J97" s="3">
        <f t="shared" si="35"/>
        <v>390</v>
      </c>
      <c r="K97" s="27">
        <f t="shared" si="36"/>
        <v>32500</v>
      </c>
      <c r="L97" s="27">
        <f t="shared" si="38"/>
        <v>32500</v>
      </c>
      <c r="M97" s="27">
        <f t="shared" si="38"/>
        <v>32500</v>
      </c>
      <c r="N97" s="27">
        <f t="shared" si="38"/>
        <v>32500</v>
      </c>
      <c r="O97" s="27">
        <f t="shared" si="38"/>
        <v>32500</v>
      </c>
      <c r="P97" s="27">
        <f t="shared" si="38"/>
        <v>32500</v>
      </c>
      <c r="Q97" s="27">
        <f t="shared" si="38"/>
        <v>32500</v>
      </c>
      <c r="R97" s="27">
        <f t="shared" si="38"/>
        <v>32500</v>
      </c>
      <c r="S97" s="27">
        <f t="shared" si="38"/>
        <v>32500</v>
      </c>
      <c r="T97" s="27">
        <f t="shared" si="38"/>
        <v>32500</v>
      </c>
      <c r="U97" s="27">
        <f t="shared" si="38"/>
        <v>32500</v>
      </c>
      <c r="V97" s="27">
        <f t="shared" si="38"/>
        <v>32500</v>
      </c>
    </row>
    <row r="98" spans="1:22" ht="12.75">
      <c r="A98" s="5">
        <f t="shared" si="34"/>
        <v>71</v>
      </c>
      <c r="B98" t="s">
        <v>143</v>
      </c>
      <c r="D98" s="20">
        <v>3138</v>
      </c>
      <c r="E98" s="19">
        <f t="shared" si="33"/>
        <v>-324</v>
      </c>
      <c r="F98" s="95">
        <v>2814</v>
      </c>
      <c r="G98" s="20"/>
      <c r="H98" s="20">
        <v>69</v>
      </c>
      <c r="J98" s="3">
        <f t="shared" si="35"/>
        <v>2814</v>
      </c>
      <c r="K98" s="27">
        <f t="shared" si="36"/>
        <v>234500</v>
      </c>
      <c r="L98" s="27">
        <f t="shared" si="38"/>
        <v>234500</v>
      </c>
      <c r="M98" s="27">
        <f t="shared" si="38"/>
        <v>234500</v>
      </c>
      <c r="N98" s="27">
        <f t="shared" si="38"/>
        <v>234500</v>
      </c>
      <c r="O98" s="27">
        <f t="shared" si="38"/>
        <v>234500</v>
      </c>
      <c r="P98" s="27">
        <f t="shared" si="38"/>
        <v>234500</v>
      </c>
      <c r="Q98" s="27">
        <f t="shared" si="38"/>
        <v>234500</v>
      </c>
      <c r="R98" s="27">
        <f t="shared" si="38"/>
        <v>234500</v>
      </c>
      <c r="S98" s="27">
        <f t="shared" si="38"/>
        <v>234500</v>
      </c>
      <c r="T98" s="27">
        <f t="shared" si="38"/>
        <v>234500</v>
      </c>
      <c r="U98" s="27">
        <f t="shared" si="38"/>
        <v>234500</v>
      </c>
      <c r="V98" s="27">
        <f t="shared" si="38"/>
        <v>234500</v>
      </c>
    </row>
    <row r="99" spans="1:22" ht="12.75">
      <c r="A99" s="5">
        <f>A98+1</f>
        <v>72</v>
      </c>
      <c r="B99" t="s">
        <v>187</v>
      </c>
      <c r="D99" s="20">
        <v>39393</v>
      </c>
      <c r="E99" s="19">
        <f t="shared" si="33"/>
        <v>-33816</v>
      </c>
      <c r="F99" s="19">
        <v>5577</v>
      </c>
      <c r="G99" s="20"/>
      <c r="H99" s="20"/>
      <c r="J99" s="3">
        <f t="shared" si="35"/>
        <v>5577</v>
      </c>
      <c r="K99" s="27">
        <f t="shared" si="36"/>
        <v>464750</v>
      </c>
      <c r="L99" s="27">
        <f t="shared" si="38"/>
        <v>464750</v>
      </c>
      <c r="M99" s="27">
        <f t="shared" si="38"/>
        <v>464750</v>
      </c>
      <c r="N99" s="27">
        <f t="shared" si="38"/>
        <v>464750</v>
      </c>
      <c r="O99" s="27">
        <f t="shared" si="38"/>
        <v>464750</v>
      </c>
      <c r="P99" s="27">
        <f t="shared" si="38"/>
        <v>464750</v>
      </c>
      <c r="Q99" s="27">
        <f t="shared" si="38"/>
        <v>464750</v>
      </c>
      <c r="R99" s="27">
        <f t="shared" si="38"/>
        <v>464750</v>
      </c>
      <c r="S99" s="27">
        <f t="shared" si="38"/>
        <v>464750</v>
      </c>
      <c r="T99" s="27">
        <f t="shared" si="38"/>
        <v>464750</v>
      </c>
      <c r="U99" s="27">
        <f t="shared" si="38"/>
        <v>464750</v>
      </c>
      <c r="V99" s="27">
        <f t="shared" si="38"/>
        <v>464750</v>
      </c>
    </row>
    <row r="100" spans="1:22" ht="12.75">
      <c r="A100" s="5">
        <f>A99+1</f>
        <v>73</v>
      </c>
      <c r="B100" t="s">
        <v>188</v>
      </c>
      <c r="D100" s="20">
        <v>662</v>
      </c>
      <c r="E100" s="19">
        <f t="shared" si="33"/>
        <v>-662</v>
      </c>
      <c r="F100" s="19">
        <v>0</v>
      </c>
      <c r="G100" s="20"/>
      <c r="H100" s="20"/>
      <c r="J100" s="3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ht="12.75">
      <c r="A101" s="5">
        <f>A100+1</f>
        <v>74</v>
      </c>
      <c r="B101" t="s">
        <v>129</v>
      </c>
      <c r="D101" s="20">
        <v>-57</v>
      </c>
      <c r="E101" s="19">
        <f t="shared" si="33"/>
        <v>0</v>
      </c>
      <c r="F101" s="19">
        <v>-57</v>
      </c>
      <c r="G101" s="20"/>
      <c r="H101" s="20"/>
      <c r="J101" s="3">
        <f t="shared" si="35"/>
        <v>-57</v>
      </c>
      <c r="K101" s="27">
        <f t="shared" si="36"/>
        <v>-4750</v>
      </c>
      <c r="L101" s="27">
        <f t="shared" si="38"/>
        <v>-4750</v>
      </c>
      <c r="M101" s="27">
        <f t="shared" si="38"/>
        <v>-4750</v>
      </c>
      <c r="N101" s="27">
        <f t="shared" si="38"/>
        <v>-4750</v>
      </c>
      <c r="O101" s="27">
        <f t="shared" si="38"/>
        <v>-4750</v>
      </c>
      <c r="P101" s="27">
        <f t="shared" si="38"/>
        <v>-4750</v>
      </c>
      <c r="Q101" s="27">
        <f t="shared" si="38"/>
        <v>-4750</v>
      </c>
      <c r="R101" s="27">
        <f t="shared" si="38"/>
        <v>-4750</v>
      </c>
      <c r="S101" s="27">
        <f t="shared" si="38"/>
        <v>-4750</v>
      </c>
      <c r="T101" s="27">
        <f t="shared" si="38"/>
        <v>-4750</v>
      </c>
      <c r="U101" s="27">
        <f t="shared" si="38"/>
        <v>-4750</v>
      </c>
      <c r="V101" s="27">
        <f t="shared" si="38"/>
        <v>-4750</v>
      </c>
    </row>
    <row r="102" spans="1:22" ht="12.75">
      <c r="A102" s="5">
        <f>A101+1</f>
        <v>75</v>
      </c>
      <c r="B102" s="17" t="s">
        <v>183</v>
      </c>
      <c r="C102" s="17"/>
      <c r="D102" s="42">
        <v>1634</v>
      </c>
      <c r="E102" s="42">
        <f t="shared" si="33"/>
        <v>-1634</v>
      </c>
      <c r="F102" s="42">
        <v>0</v>
      </c>
      <c r="G102" s="20" t="s">
        <v>159</v>
      </c>
      <c r="H102" s="20">
        <v>324</v>
      </c>
      <c r="J102" s="3">
        <f t="shared" si="35"/>
        <v>0</v>
      </c>
      <c r="K102" s="27">
        <f t="shared" si="36"/>
        <v>0</v>
      </c>
      <c r="L102" s="27">
        <f t="shared" si="38"/>
        <v>0</v>
      </c>
      <c r="M102" s="27">
        <f t="shared" si="38"/>
        <v>0</v>
      </c>
      <c r="N102" s="27">
        <f t="shared" si="38"/>
        <v>0</v>
      </c>
      <c r="O102" s="27">
        <f t="shared" si="38"/>
        <v>0</v>
      </c>
      <c r="P102" s="27">
        <f t="shared" si="38"/>
        <v>0</v>
      </c>
      <c r="Q102" s="27">
        <f t="shared" si="38"/>
        <v>0</v>
      </c>
      <c r="R102" s="27">
        <f t="shared" si="38"/>
        <v>0</v>
      </c>
      <c r="S102" s="27">
        <f t="shared" si="38"/>
        <v>0</v>
      </c>
      <c r="T102" s="27">
        <f t="shared" si="38"/>
        <v>0</v>
      </c>
      <c r="U102" s="27">
        <f t="shared" si="38"/>
        <v>0</v>
      </c>
      <c r="V102" s="27">
        <f t="shared" si="38"/>
        <v>0</v>
      </c>
    </row>
    <row r="103" spans="1:22" ht="12.75">
      <c r="A103" s="5">
        <f>A102+1</f>
        <v>76</v>
      </c>
      <c r="B103" t="s">
        <v>21</v>
      </c>
      <c r="D103" s="19">
        <f>SUM(D91:D102)</f>
        <v>138610</v>
      </c>
      <c r="E103" s="19">
        <f>F103-D103</f>
        <v>-23816.337814311322</v>
      </c>
      <c r="F103" s="19">
        <f>SUM(F91:F102)</f>
        <v>114793.66218568868</v>
      </c>
      <c r="G103" s="19"/>
      <c r="H103" s="42">
        <v>0</v>
      </c>
      <c r="I103" s="19"/>
      <c r="J103" s="3">
        <f t="shared" si="35"/>
        <v>114793.94093568868</v>
      </c>
      <c r="K103" s="27">
        <f aca="true" t="shared" si="39" ref="K103:V103">SUM(K91:K102)</f>
        <v>14962039.568641333</v>
      </c>
      <c r="L103" s="27">
        <f t="shared" si="39"/>
        <v>14063309.223096518</v>
      </c>
      <c r="M103" s="27">
        <f t="shared" si="39"/>
        <v>15753747.972373175</v>
      </c>
      <c r="N103" s="27">
        <f t="shared" si="39"/>
        <v>9393951.550635274</v>
      </c>
      <c r="O103" s="27">
        <f t="shared" si="39"/>
        <v>12901235.546506094</v>
      </c>
      <c r="P103" s="27">
        <f t="shared" si="39"/>
        <v>11226078.258891996</v>
      </c>
      <c r="Q103" s="27">
        <f t="shared" si="39"/>
        <v>11220228.294324163</v>
      </c>
      <c r="R103" s="27">
        <f t="shared" si="39"/>
        <v>6898210.170879567</v>
      </c>
      <c r="S103" s="27">
        <f t="shared" si="39"/>
        <v>6350122.1369771315</v>
      </c>
      <c r="T103" s="27">
        <f t="shared" si="39"/>
        <v>3328203.533278402</v>
      </c>
      <c r="U103" s="27">
        <f t="shared" si="39"/>
        <v>4934689.105196126</v>
      </c>
      <c r="V103" s="27">
        <f t="shared" si="39"/>
        <v>3762125.5748888906</v>
      </c>
    </row>
    <row r="104" spans="1:22" ht="12.75">
      <c r="A104" s="5"/>
      <c r="D104" s="19"/>
      <c r="E104" s="19"/>
      <c r="F104" s="19"/>
      <c r="G104" s="19"/>
      <c r="H104" s="19">
        <v>62060.890920372694</v>
      </c>
      <c r="I104" s="1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10" ht="12.75">
      <c r="A105" s="5"/>
      <c r="B105" s="7" t="s">
        <v>22</v>
      </c>
      <c r="D105" s="19"/>
      <c r="E105" s="19" t="s">
        <v>12</v>
      </c>
      <c r="F105" s="19"/>
      <c r="G105" s="19"/>
      <c r="H105" s="19"/>
      <c r="I105" s="19"/>
      <c r="J105" s="3"/>
    </row>
    <row r="106" spans="1:10" ht="12.75">
      <c r="A106" s="5">
        <f>A103+1</f>
        <v>77</v>
      </c>
      <c r="B106" t="s">
        <v>185</v>
      </c>
      <c r="D106" s="95">
        <v>11</v>
      </c>
      <c r="E106" s="95">
        <f>F106-D106</f>
        <v>-11</v>
      </c>
      <c r="F106" s="95">
        <v>0</v>
      </c>
      <c r="G106" s="95"/>
      <c r="H106" s="95"/>
      <c r="I106" s="19"/>
      <c r="J106" s="3"/>
    </row>
    <row r="107" spans="1:10" ht="12.75">
      <c r="A107" s="5">
        <f>A106+1</f>
        <v>78</v>
      </c>
      <c r="B107" s="17" t="s">
        <v>109</v>
      </c>
      <c r="C107" s="17"/>
      <c r="D107" s="19">
        <v>13031</v>
      </c>
      <c r="E107" s="42">
        <f>F107-D107</f>
        <v>-13031</v>
      </c>
      <c r="F107" s="19">
        <v>0</v>
      </c>
      <c r="G107" s="19"/>
      <c r="H107" s="19">
        <v>48</v>
      </c>
      <c r="I107" s="19"/>
      <c r="J107" s="3"/>
    </row>
    <row r="108" spans="1:10" ht="12.75">
      <c r="A108" s="5">
        <f>A107+1</f>
        <v>79</v>
      </c>
      <c r="B108" t="s">
        <v>23</v>
      </c>
      <c r="D108" s="114">
        <f>SUM(D106:D107)</f>
        <v>13042</v>
      </c>
      <c r="E108" s="19">
        <f>F108-D108</f>
        <v>-13042</v>
      </c>
      <c r="F108" s="21">
        <f>SUM(F106:F107)</f>
        <v>0</v>
      </c>
      <c r="G108" s="19"/>
      <c r="H108" s="19">
        <v>0</v>
      </c>
      <c r="I108" s="19"/>
      <c r="J108" s="3"/>
    </row>
    <row r="109" spans="1:10" ht="7.5" customHeight="1">
      <c r="A109" s="5" t="s">
        <v>12</v>
      </c>
      <c r="D109" s="19"/>
      <c r="E109" s="19"/>
      <c r="F109" s="19"/>
      <c r="G109" s="19"/>
      <c r="H109" s="42">
        <v>0</v>
      </c>
      <c r="I109" s="19"/>
      <c r="J109" s="3"/>
    </row>
    <row r="110" spans="1:10" ht="12.75">
      <c r="A110" s="5"/>
      <c r="B110" s="48" t="s">
        <v>32</v>
      </c>
      <c r="D110" s="19"/>
      <c r="E110" s="19"/>
      <c r="F110" s="19" t="s">
        <v>12</v>
      </c>
      <c r="G110" s="19"/>
      <c r="H110" s="19">
        <v>48</v>
      </c>
      <c r="I110" s="19"/>
      <c r="J110" s="3"/>
    </row>
    <row r="111" spans="1:10" ht="12.75">
      <c r="A111" s="5">
        <f>A108+1</f>
        <v>80</v>
      </c>
      <c r="B111" t="s">
        <v>29</v>
      </c>
      <c r="D111" s="95">
        <v>309</v>
      </c>
      <c r="E111" s="95">
        <f>F111-D111</f>
        <v>-19</v>
      </c>
      <c r="F111" s="95">
        <v>290</v>
      </c>
      <c r="G111" s="95"/>
      <c r="H111" s="95"/>
      <c r="I111" s="19"/>
      <c r="J111" s="3"/>
    </row>
    <row r="112" spans="1:10" ht="6.75" customHeight="1">
      <c r="A112" s="5"/>
      <c r="D112" s="95"/>
      <c r="E112" s="19"/>
      <c r="F112" s="95"/>
      <c r="G112" s="19"/>
      <c r="H112" s="19" t="s">
        <v>12</v>
      </c>
      <c r="I112" s="19"/>
      <c r="J112" s="3"/>
    </row>
    <row r="113" spans="1:10" ht="12.75">
      <c r="A113" s="5"/>
      <c r="B113" s="48" t="s">
        <v>60</v>
      </c>
      <c r="D113" s="95"/>
      <c r="E113" s="19"/>
      <c r="F113" s="95"/>
      <c r="G113" s="19"/>
      <c r="H113" s="19">
        <v>365</v>
      </c>
      <c r="I113" s="19"/>
      <c r="J113" s="3"/>
    </row>
    <row r="114" spans="1:10" ht="12.75">
      <c r="A114" s="5">
        <f>A111+1</f>
        <v>81</v>
      </c>
      <c r="B114" t="s">
        <v>61</v>
      </c>
      <c r="D114" s="95">
        <v>21</v>
      </c>
      <c r="E114" s="95">
        <f>F114-D114</f>
        <v>2</v>
      </c>
      <c r="F114" s="95">
        <v>23</v>
      </c>
      <c r="G114" s="95"/>
      <c r="H114" s="95"/>
      <c r="I114" s="19"/>
      <c r="J114" s="3"/>
    </row>
    <row r="115" spans="1:10" ht="6" customHeight="1">
      <c r="A115" s="5"/>
      <c r="D115" s="19"/>
      <c r="E115" s="19"/>
      <c r="F115" s="19"/>
      <c r="G115" s="19"/>
      <c r="H115" s="19"/>
      <c r="I115" s="19"/>
      <c r="J115" s="3"/>
    </row>
    <row r="116" spans="1:10" ht="12.75">
      <c r="A116" s="5">
        <f>A114+1</f>
        <v>82</v>
      </c>
      <c r="B116" s="45" t="s">
        <v>24</v>
      </c>
      <c r="C116" s="38"/>
      <c r="D116" s="46">
        <f>D103+D108+D111+D114</f>
        <v>151982</v>
      </c>
      <c r="E116" s="46">
        <f>F116-D116</f>
        <v>-36875.33781431132</v>
      </c>
      <c r="F116" s="47">
        <f>F103+F108+F111+F114</f>
        <v>115106.66218568868</v>
      </c>
      <c r="G116" s="19"/>
      <c r="H116" s="19">
        <v>24</v>
      </c>
      <c r="I116" s="19"/>
      <c r="J116" s="3"/>
    </row>
    <row r="117" spans="1:10" ht="7.5" customHeight="1">
      <c r="A117" s="5"/>
      <c r="D117" s="19"/>
      <c r="E117" s="19"/>
      <c r="F117" s="19"/>
      <c r="G117" s="19"/>
      <c r="H117" s="19"/>
      <c r="I117" s="19"/>
      <c r="J117" s="3"/>
    </row>
    <row r="118" spans="1:10" ht="12.75">
      <c r="A118" s="5">
        <f>A116+1</f>
        <v>83</v>
      </c>
      <c r="B118" s="45" t="s">
        <v>186</v>
      </c>
      <c r="C118" s="38"/>
      <c r="D118" s="46">
        <f>D88-D116</f>
        <v>195800</v>
      </c>
      <c r="E118" s="46">
        <f>F118-D118</f>
        <v>7615.896360129234</v>
      </c>
      <c r="F118" s="47">
        <f>F88-F116</f>
        <v>203415.89636012923</v>
      </c>
      <c r="G118" s="19"/>
      <c r="H118" s="46">
        <v>62497.890920372694</v>
      </c>
      <c r="I118" s="19"/>
      <c r="J118" s="3"/>
    </row>
    <row r="119" spans="1:10" ht="3.75" customHeight="1">
      <c r="A119" s="5"/>
      <c r="D119" s="19"/>
      <c r="E119" s="19"/>
      <c r="F119" s="19"/>
      <c r="G119" s="19"/>
      <c r="H119" s="19"/>
      <c r="I119" s="19"/>
      <c r="J119" s="3"/>
    </row>
    <row r="120" spans="1:10" ht="12.75" customHeight="1">
      <c r="A120" s="5">
        <f>A118+1</f>
        <v>84</v>
      </c>
      <c r="B120" s="2" t="s">
        <v>192</v>
      </c>
      <c r="D120" s="19"/>
      <c r="E120" s="3">
        <f>-E36</f>
        <v>19861</v>
      </c>
      <c r="F120" s="19"/>
      <c r="G120" s="19"/>
      <c r="H120" s="19"/>
      <c r="I120" s="19"/>
      <c r="J120" s="3"/>
    </row>
    <row r="121" spans="1:10" ht="12.75" hidden="1">
      <c r="A121" s="5"/>
      <c r="B121" s="118"/>
      <c r="D121" s="19"/>
      <c r="E121" s="19"/>
      <c r="F121" s="19"/>
      <c r="G121" s="19"/>
      <c r="H121" s="19"/>
      <c r="I121" s="19"/>
      <c r="J121" s="3"/>
    </row>
    <row r="122" spans="1:10" ht="12.75" hidden="1">
      <c r="A122" s="5">
        <f>A120+1</f>
        <v>85</v>
      </c>
      <c r="B122" s="2"/>
      <c r="D122" s="23"/>
      <c r="E122" s="23"/>
      <c r="F122" s="23"/>
      <c r="G122" s="23"/>
      <c r="H122" s="23"/>
      <c r="I122" s="19"/>
      <c r="J122" s="3"/>
    </row>
    <row r="123" spans="1:10" ht="12.75" customHeight="1" hidden="1">
      <c r="A123" s="5">
        <f>A122+1</f>
        <v>86</v>
      </c>
      <c r="B123" s="2"/>
      <c r="D123" s="23"/>
      <c r="E123" s="23"/>
      <c r="F123" s="23"/>
      <c r="G123" s="23"/>
      <c r="H123" s="23"/>
      <c r="I123" s="19"/>
      <c r="J123" s="3"/>
    </row>
    <row r="124" spans="2:10" ht="6.75" customHeight="1">
      <c r="B124" s="2"/>
      <c r="F124"/>
      <c r="G124" s="9"/>
      <c r="H124" s="104">
        <f>H90-H118</f>
        <v>125959.36922867766</v>
      </c>
      <c r="I124" s="76" t="s">
        <v>133</v>
      </c>
      <c r="J124" s="3"/>
    </row>
    <row r="125" spans="1:10" ht="12.75" customHeight="1">
      <c r="A125" s="5">
        <f>A120+1</f>
        <v>85</v>
      </c>
      <c r="B125" s="2" t="s">
        <v>191</v>
      </c>
      <c r="E125" s="3">
        <f>E118+E120</f>
        <v>27476.896360129234</v>
      </c>
      <c r="J125" s="3"/>
    </row>
    <row r="126" ht="3.75" customHeight="1">
      <c r="J126" s="3"/>
    </row>
    <row r="127" spans="10:22" ht="3.75" customHeight="1">
      <c r="J127" s="3">
        <f>SUM(K127:V127)</f>
        <v>188174836.5281679</v>
      </c>
      <c r="K127" s="27">
        <f aca="true" t="shared" si="40" ref="K127:V127">K40+K54+K64-K103</f>
        <v>25229272.06889583</v>
      </c>
      <c r="L127" s="27">
        <f t="shared" si="40"/>
        <v>18616851.26568865</v>
      </c>
      <c r="M127" s="27">
        <f t="shared" si="40"/>
        <v>15887921.792060325</v>
      </c>
      <c r="N127" s="27">
        <f t="shared" si="40"/>
        <v>6728847.3581944</v>
      </c>
      <c r="O127" s="27">
        <f t="shared" si="40"/>
        <v>-2129219.361972751</v>
      </c>
      <c r="P127" s="27">
        <f t="shared" si="40"/>
        <v>10143.004381436855</v>
      </c>
      <c r="Q127" s="27">
        <f t="shared" si="40"/>
        <v>10489784.203341968</v>
      </c>
      <c r="R127" s="27">
        <f t="shared" si="40"/>
        <v>21352236.840427324</v>
      </c>
      <c r="S127" s="27">
        <f t="shared" si="40"/>
        <v>20777715.148509376</v>
      </c>
      <c r="T127" s="27">
        <f t="shared" si="40"/>
        <v>22915371.605655354</v>
      </c>
      <c r="U127" s="27">
        <f t="shared" si="40"/>
        <v>23605035.535361476</v>
      </c>
      <c r="V127" s="27">
        <f t="shared" si="40"/>
        <v>24690877.06762454</v>
      </c>
    </row>
    <row r="128" ht="9" customHeight="1">
      <c r="J128" s="3"/>
    </row>
    <row r="129" spans="5:10" ht="12.75">
      <c r="E129" s="137" t="s">
        <v>245</v>
      </c>
      <c r="F129" s="138">
        <v>191204</v>
      </c>
      <c r="J129" s="3"/>
    </row>
    <row r="130" spans="5:10" ht="3.75" customHeight="1">
      <c r="E130" s="139"/>
      <c r="F130" s="140"/>
      <c r="J130" s="3"/>
    </row>
    <row r="131" spans="5:10" ht="12.75">
      <c r="E131" s="141" t="s">
        <v>246</v>
      </c>
      <c r="F131" s="142">
        <f>F118-F129</f>
        <v>12211.896360129234</v>
      </c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  <row r="403" ht="12.75">
      <c r="J403" s="3"/>
    </row>
    <row r="404" ht="12.75">
      <c r="J404" s="3"/>
    </row>
    <row r="405" ht="12.75">
      <c r="J405" s="3"/>
    </row>
    <row r="406" ht="12.75">
      <c r="J406" s="3"/>
    </row>
    <row r="407" ht="12.75">
      <c r="J407" s="3"/>
    </row>
    <row r="408" ht="12.75">
      <c r="J408" s="3"/>
    </row>
    <row r="409" ht="12.75">
      <c r="J409" s="3"/>
    </row>
    <row r="410" ht="12.75">
      <c r="J410" s="3"/>
    </row>
    <row r="411" ht="12.75">
      <c r="J411" s="3"/>
    </row>
    <row r="412" ht="12.75">
      <c r="J412" s="3"/>
    </row>
    <row r="413" ht="12.75">
      <c r="J413" s="3"/>
    </row>
    <row r="414" ht="12.75">
      <c r="J414" s="3"/>
    </row>
    <row r="415" ht="12.75">
      <c r="J415" s="3"/>
    </row>
    <row r="416" ht="12.75">
      <c r="J416" s="3"/>
    </row>
    <row r="417" ht="12.75">
      <c r="J417" s="3"/>
    </row>
    <row r="418" ht="12.75">
      <c r="J418" s="3"/>
    </row>
    <row r="419" ht="12.75">
      <c r="J419" s="3"/>
    </row>
    <row r="420" ht="12.75">
      <c r="J420" s="3"/>
    </row>
    <row r="421" ht="12.75">
      <c r="J421" s="3"/>
    </row>
    <row r="422" ht="12.75">
      <c r="J422" s="3"/>
    </row>
    <row r="423" ht="12.75">
      <c r="J423" s="3"/>
    </row>
    <row r="424" ht="12.75">
      <c r="J424" s="3"/>
    </row>
    <row r="425" ht="12.75">
      <c r="J425" s="3"/>
    </row>
    <row r="426" ht="12.75">
      <c r="J426" s="3"/>
    </row>
    <row r="427" ht="12.75">
      <c r="J427" s="3"/>
    </row>
    <row r="428" ht="12.75">
      <c r="J428" s="3"/>
    </row>
    <row r="429" ht="12.75">
      <c r="J429" s="3"/>
    </row>
    <row r="430" ht="12.75">
      <c r="J430" s="3"/>
    </row>
    <row r="431" ht="12.75">
      <c r="J431" s="3"/>
    </row>
    <row r="432" ht="12.75">
      <c r="J432" s="3"/>
    </row>
    <row r="433" ht="12.75">
      <c r="J433" s="3"/>
    </row>
    <row r="434" ht="12.75">
      <c r="J434" s="3"/>
    </row>
    <row r="435" ht="12.75">
      <c r="J435" s="3"/>
    </row>
    <row r="436" ht="12.75">
      <c r="J436" s="3"/>
    </row>
    <row r="437" ht="12.75">
      <c r="J437" s="3"/>
    </row>
    <row r="438" ht="12.75">
      <c r="J438" s="3"/>
    </row>
    <row r="439" ht="12.75">
      <c r="J439" s="3"/>
    </row>
    <row r="440" ht="12.75">
      <c r="J440" s="3"/>
    </row>
    <row r="441" ht="12.75">
      <c r="J441" s="3"/>
    </row>
    <row r="442" ht="12.75">
      <c r="J442" s="3"/>
    </row>
    <row r="443" ht="12.75">
      <c r="J443" s="3"/>
    </row>
    <row r="444" ht="12.75">
      <c r="J444" s="3"/>
    </row>
    <row r="445" ht="12.75">
      <c r="J445" s="3"/>
    </row>
    <row r="446" ht="12.75">
      <c r="J446" s="3"/>
    </row>
    <row r="447" ht="12.75">
      <c r="J447" s="3"/>
    </row>
    <row r="448" ht="12.75">
      <c r="J448" s="3"/>
    </row>
    <row r="449" ht="12.75">
      <c r="J449" s="3"/>
    </row>
    <row r="450" ht="12.75">
      <c r="J450" s="3"/>
    </row>
    <row r="451" ht="12.75">
      <c r="J451" s="3"/>
    </row>
    <row r="452" ht="12.75">
      <c r="J452" s="3"/>
    </row>
    <row r="453" ht="12.75">
      <c r="J453" s="3"/>
    </row>
    <row r="454" ht="12.75">
      <c r="J454" s="3"/>
    </row>
    <row r="455" ht="12.75">
      <c r="J455" s="3"/>
    </row>
    <row r="456" ht="12.75">
      <c r="J456" s="3"/>
    </row>
    <row r="457" ht="12.75">
      <c r="J457" s="3"/>
    </row>
    <row r="458" ht="12.75">
      <c r="J458" s="3"/>
    </row>
    <row r="459" ht="12.75">
      <c r="J459" s="3"/>
    </row>
    <row r="460" ht="12.75">
      <c r="J460" s="3"/>
    </row>
    <row r="461" ht="12.75">
      <c r="J461" s="3"/>
    </row>
    <row r="462" ht="12.75">
      <c r="J462" s="3"/>
    </row>
    <row r="463" ht="12.75">
      <c r="J463" s="3"/>
    </row>
    <row r="464" ht="12.75">
      <c r="J464" s="3"/>
    </row>
    <row r="465" ht="12.75">
      <c r="J465" s="3"/>
    </row>
    <row r="466" ht="12.75">
      <c r="J466" s="3"/>
    </row>
    <row r="467" ht="12.75">
      <c r="J467" s="3"/>
    </row>
    <row r="468" ht="12.75">
      <c r="J468" s="3"/>
    </row>
    <row r="469" ht="12.75">
      <c r="J469" s="3"/>
    </row>
    <row r="470" ht="12.75">
      <c r="J470" s="3"/>
    </row>
    <row r="471" ht="12.75">
      <c r="J471" s="3"/>
    </row>
    <row r="472" ht="12.75">
      <c r="J472" s="3"/>
    </row>
    <row r="473" ht="12.75">
      <c r="J473" s="3"/>
    </row>
    <row r="474" ht="12.75">
      <c r="J474" s="3"/>
    </row>
    <row r="475" ht="12.75">
      <c r="J475" s="3"/>
    </row>
    <row r="476" ht="12.75">
      <c r="J476" s="3"/>
    </row>
    <row r="477" ht="12.75">
      <c r="J477" s="3"/>
    </row>
    <row r="478" ht="12.75">
      <c r="J478" s="3"/>
    </row>
    <row r="479" ht="12.75">
      <c r="J479" s="3"/>
    </row>
    <row r="480" ht="12.75">
      <c r="J480" s="3"/>
    </row>
    <row r="481" ht="12.75">
      <c r="J481" s="3"/>
    </row>
    <row r="482" ht="12.75">
      <c r="J482" s="3"/>
    </row>
    <row r="483" ht="12.75">
      <c r="J483" s="3"/>
    </row>
    <row r="484" ht="12.75">
      <c r="J484" s="3"/>
    </row>
    <row r="485" ht="12.75">
      <c r="J485" s="3"/>
    </row>
    <row r="486" ht="12.75">
      <c r="J486" s="3"/>
    </row>
    <row r="487" ht="12.75">
      <c r="J487" s="3"/>
    </row>
    <row r="488" ht="12.75">
      <c r="J488" s="3"/>
    </row>
    <row r="489" ht="12.75">
      <c r="J489" s="3"/>
    </row>
    <row r="490" ht="12.75">
      <c r="J490" s="3"/>
    </row>
    <row r="491" ht="12.75">
      <c r="J491" s="3"/>
    </row>
    <row r="492" ht="12.75">
      <c r="J492" s="3"/>
    </row>
    <row r="493" ht="12.75">
      <c r="J493" s="3"/>
    </row>
    <row r="494" ht="12.75">
      <c r="J494" s="3"/>
    </row>
    <row r="495" ht="12.75">
      <c r="J495" s="3"/>
    </row>
    <row r="496" ht="12.75">
      <c r="J496" s="3"/>
    </row>
    <row r="497" ht="12.75">
      <c r="J497" s="3"/>
    </row>
    <row r="498" ht="12.75">
      <c r="J498" s="3"/>
    </row>
    <row r="499" ht="12.75">
      <c r="J499" s="3"/>
    </row>
    <row r="500" ht="12.75">
      <c r="J500" s="3"/>
    </row>
    <row r="501" ht="12.75">
      <c r="J501" s="3"/>
    </row>
    <row r="502" ht="12.75">
      <c r="J502" s="3"/>
    </row>
    <row r="503" ht="12.75">
      <c r="J503" s="3"/>
    </row>
    <row r="504" ht="12.75">
      <c r="J504" s="3"/>
    </row>
    <row r="505" ht="12.75">
      <c r="J505" s="3"/>
    </row>
    <row r="506" ht="12.75">
      <c r="J506" s="3"/>
    </row>
    <row r="507" ht="12.75">
      <c r="J507" s="3"/>
    </row>
    <row r="508" ht="12.75">
      <c r="J508" s="3"/>
    </row>
    <row r="509" ht="12.75">
      <c r="J509" s="3"/>
    </row>
    <row r="510" ht="12.75">
      <c r="J510" s="3"/>
    </row>
    <row r="511" ht="12.75">
      <c r="J511" s="3"/>
    </row>
    <row r="512" ht="12.75">
      <c r="J512" s="3"/>
    </row>
    <row r="513" ht="12.75">
      <c r="J513" s="3"/>
    </row>
    <row r="514" ht="12.75">
      <c r="J514" s="3"/>
    </row>
    <row r="515" ht="12.75">
      <c r="J515" s="3"/>
    </row>
    <row r="516" ht="12.75">
      <c r="J516" s="3"/>
    </row>
    <row r="517" ht="12.75">
      <c r="J517" s="3"/>
    </row>
    <row r="518" ht="12.75">
      <c r="J518" s="3"/>
    </row>
    <row r="519" ht="12.75">
      <c r="J519" s="3"/>
    </row>
    <row r="520" ht="12.75">
      <c r="J520" s="3"/>
    </row>
    <row r="521" ht="12.75">
      <c r="J521" s="3"/>
    </row>
    <row r="522" ht="12.75">
      <c r="J522" s="3"/>
    </row>
    <row r="523" ht="12.75">
      <c r="J523" s="3"/>
    </row>
    <row r="524" ht="12.75">
      <c r="J524" s="3"/>
    </row>
    <row r="525" ht="12.75">
      <c r="J525" s="3"/>
    </row>
    <row r="526" ht="12.75">
      <c r="J526" s="3"/>
    </row>
    <row r="527" ht="12.75">
      <c r="J527" s="3"/>
    </row>
    <row r="528" ht="12.75">
      <c r="J528" s="3"/>
    </row>
    <row r="529" ht="12.75">
      <c r="J529" s="3"/>
    </row>
    <row r="530" ht="12.75">
      <c r="J530" s="3"/>
    </row>
    <row r="531" ht="12.75">
      <c r="J531" s="3"/>
    </row>
    <row r="532" ht="12.75">
      <c r="J532" s="3"/>
    </row>
    <row r="533" ht="12.75">
      <c r="J533" s="3"/>
    </row>
    <row r="534" ht="12.75">
      <c r="J534" s="3"/>
    </row>
    <row r="535" ht="12.75">
      <c r="J535" s="3"/>
    </row>
    <row r="536" ht="12.75">
      <c r="J536" s="3"/>
    </row>
    <row r="537" ht="12.75">
      <c r="J537" s="3"/>
    </row>
    <row r="538" ht="12.75">
      <c r="J538" s="3"/>
    </row>
    <row r="539" ht="12.75">
      <c r="J539" s="3"/>
    </row>
    <row r="540" ht="12.75">
      <c r="J540" s="3"/>
    </row>
    <row r="541" ht="12.75">
      <c r="J541" s="3"/>
    </row>
    <row r="542" ht="12.75">
      <c r="J542" s="3"/>
    </row>
    <row r="543" ht="12.75">
      <c r="J543" s="3"/>
    </row>
    <row r="544" ht="12.75">
      <c r="J544" s="3"/>
    </row>
    <row r="545" ht="12.75">
      <c r="J545" s="3"/>
    </row>
    <row r="546" ht="12.75">
      <c r="J546" s="3"/>
    </row>
    <row r="547" ht="12.75">
      <c r="J547" s="3"/>
    </row>
    <row r="548" ht="12.75">
      <c r="J548" s="3"/>
    </row>
    <row r="549" ht="12.75">
      <c r="J549" s="3"/>
    </row>
    <row r="550" ht="12.75">
      <c r="J550" s="3"/>
    </row>
    <row r="551" ht="12.75">
      <c r="J551" s="3"/>
    </row>
    <row r="552" ht="12.75">
      <c r="J552" s="3"/>
    </row>
    <row r="553" ht="12.75">
      <c r="J553" s="3"/>
    </row>
    <row r="554" ht="12.75">
      <c r="J554" s="3"/>
    </row>
    <row r="555" ht="12.75">
      <c r="J555" s="3"/>
    </row>
    <row r="556" ht="12.75">
      <c r="J556" s="3"/>
    </row>
    <row r="557" ht="12.75">
      <c r="J557" s="3"/>
    </row>
    <row r="558" ht="12.75">
      <c r="J558" s="3"/>
    </row>
    <row r="559" ht="12.75">
      <c r="J559" s="3"/>
    </row>
    <row r="560" ht="12.75">
      <c r="J560" s="3"/>
    </row>
    <row r="561" ht="12.75">
      <c r="J561" s="3"/>
    </row>
    <row r="562" ht="12.75">
      <c r="J562" s="3"/>
    </row>
    <row r="563" ht="12.75">
      <c r="J563" s="3"/>
    </row>
    <row r="564" ht="12.75">
      <c r="J564" s="3"/>
    </row>
    <row r="565" ht="12.75">
      <c r="J565" s="3"/>
    </row>
    <row r="566" ht="12.75">
      <c r="J566" s="3"/>
    </row>
    <row r="567" ht="12.75">
      <c r="J567" s="3"/>
    </row>
    <row r="568" ht="12.75">
      <c r="J568" s="3"/>
    </row>
    <row r="569" ht="12.75">
      <c r="J569" s="3"/>
    </row>
    <row r="570" ht="12.75">
      <c r="J570" s="3"/>
    </row>
    <row r="571" ht="12.75">
      <c r="J571" s="3"/>
    </row>
    <row r="572" ht="12.75">
      <c r="J572" s="3"/>
    </row>
    <row r="573" ht="12.75">
      <c r="J573" s="3"/>
    </row>
    <row r="574" ht="12.75">
      <c r="J574" s="3"/>
    </row>
    <row r="575" ht="12.75">
      <c r="J575" s="3"/>
    </row>
    <row r="576" ht="12.75">
      <c r="J576" s="3"/>
    </row>
    <row r="577" ht="12.75">
      <c r="J577" s="3"/>
    </row>
    <row r="578" ht="12.75">
      <c r="J578" s="3"/>
    </row>
    <row r="579" ht="12.75">
      <c r="J579" s="3"/>
    </row>
    <row r="580" ht="12.75">
      <c r="J580" s="3"/>
    </row>
    <row r="581" ht="12.75">
      <c r="J581" s="3"/>
    </row>
    <row r="582" ht="12.75">
      <c r="J582" s="3"/>
    </row>
    <row r="583" ht="12.75">
      <c r="J583" s="3"/>
    </row>
    <row r="584" ht="12.75">
      <c r="J584" s="3"/>
    </row>
    <row r="585" ht="12.75">
      <c r="J585" s="3"/>
    </row>
    <row r="586" ht="12.75">
      <c r="J586" s="3"/>
    </row>
    <row r="587" ht="12.75">
      <c r="J587" s="3"/>
    </row>
    <row r="588" ht="12.75">
      <c r="J588" s="3"/>
    </row>
    <row r="589" ht="12.75">
      <c r="J589" s="3"/>
    </row>
    <row r="590" ht="12.75">
      <c r="J590" s="3"/>
    </row>
    <row r="591" ht="12.75">
      <c r="J591" s="3"/>
    </row>
    <row r="592" ht="12.75">
      <c r="J592" s="3"/>
    </row>
    <row r="593" ht="12.75">
      <c r="J593" s="3"/>
    </row>
    <row r="594" ht="12.75">
      <c r="J594" s="3"/>
    </row>
    <row r="595" ht="12.75">
      <c r="J595" s="3"/>
    </row>
    <row r="596" ht="12.75">
      <c r="J596" s="3"/>
    </row>
    <row r="597" ht="12.75">
      <c r="J597" s="3"/>
    </row>
    <row r="598" ht="12.75">
      <c r="J598" s="3"/>
    </row>
    <row r="599" ht="12.75">
      <c r="J599" s="3"/>
    </row>
    <row r="600" ht="12.75">
      <c r="J600" s="3"/>
    </row>
    <row r="601" ht="12.75">
      <c r="J601" s="3"/>
    </row>
    <row r="602" ht="12.75">
      <c r="J602" s="3"/>
    </row>
    <row r="603" ht="12.75">
      <c r="J603" s="3"/>
    </row>
    <row r="604" ht="12.75">
      <c r="J604" s="3"/>
    </row>
    <row r="605" ht="12.75">
      <c r="J605" s="3"/>
    </row>
    <row r="606" ht="12.75">
      <c r="J606" s="3"/>
    </row>
    <row r="607" ht="12.75">
      <c r="J607" s="3"/>
    </row>
    <row r="608" ht="12.75">
      <c r="J608" s="3"/>
    </row>
    <row r="609" ht="12.75">
      <c r="J609" s="3"/>
    </row>
    <row r="610" ht="12.75">
      <c r="J610" s="3"/>
    </row>
    <row r="611" ht="12.75">
      <c r="J611" s="3"/>
    </row>
    <row r="612" ht="12.75">
      <c r="J612" s="3"/>
    </row>
    <row r="613" ht="12.75">
      <c r="J613" s="3"/>
    </row>
    <row r="614" ht="12.75">
      <c r="J614" s="3"/>
    </row>
    <row r="615" ht="12.75">
      <c r="J615" s="3"/>
    </row>
    <row r="616" ht="12.75">
      <c r="J616" s="3"/>
    </row>
    <row r="617" ht="12.75">
      <c r="J617" s="3"/>
    </row>
    <row r="618" ht="12.75">
      <c r="J618" s="3"/>
    </row>
    <row r="619" ht="12.75">
      <c r="J619" s="3"/>
    </row>
    <row r="620" ht="12.75">
      <c r="J620" s="3"/>
    </row>
    <row r="621" ht="12.75">
      <c r="J621" s="3"/>
    </row>
    <row r="622" ht="12.75">
      <c r="J622" s="3"/>
    </row>
    <row r="623" ht="12.75">
      <c r="J623" s="3"/>
    </row>
    <row r="624" ht="12.75">
      <c r="J624" s="3"/>
    </row>
    <row r="625" ht="12.75">
      <c r="J625" s="3"/>
    </row>
    <row r="626" ht="12.75">
      <c r="J626" s="3"/>
    </row>
    <row r="627" ht="12.75">
      <c r="J627" s="3"/>
    </row>
    <row r="628" ht="12.75">
      <c r="J628" s="3"/>
    </row>
    <row r="629" ht="12.75">
      <c r="J629" s="3"/>
    </row>
    <row r="630" ht="12.75">
      <c r="J630" s="3"/>
    </row>
    <row r="631" ht="12.75">
      <c r="J631" s="3"/>
    </row>
    <row r="632" ht="12.75">
      <c r="J632" s="3"/>
    </row>
    <row r="633" ht="12.75">
      <c r="J633" s="3"/>
    </row>
    <row r="634" ht="12.75">
      <c r="J634" s="3"/>
    </row>
    <row r="635" ht="12.75">
      <c r="J635" s="3"/>
    </row>
    <row r="636" ht="12.75">
      <c r="J636" s="3"/>
    </row>
    <row r="637" ht="12.75">
      <c r="J637" s="3"/>
    </row>
    <row r="638" ht="12.75">
      <c r="J638" s="3"/>
    </row>
    <row r="639" ht="12.75">
      <c r="J639" s="3"/>
    </row>
    <row r="640" ht="12.75">
      <c r="J640" s="3"/>
    </row>
    <row r="641" ht="12.75">
      <c r="J641" s="3"/>
    </row>
    <row r="642" ht="12.75">
      <c r="J642" s="3"/>
    </row>
    <row r="643" ht="12.75">
      <c r="J643" s="3"/>
    </row>
    <row r="644" ht="12.75">
      <c r="J644" s="3"/>
    </row>
    <row r="645" ht="12.75">
      <c r="J645" s="3"/>
    </row>
    <row r="646" ht="12.75">
      <c r="J646" s="3"/>
    </row>
    <row r="647" ht="12.75">
      <c r="J647" s="3"/>
    </row>
    <row r="648" ht="12.75">
      <c r="J648" s="3"/>
    </row>
    <row r="649" ht="12.75">
      <c r="J649" s="3"/>
    </row>
    <row r="650" ht="12.75">
      <c r="J650" s="3"/>
    </row>
    <row r="651" ht="12.75">
      <c r="J651" s="3"/>
    </row>
    <row r="652" ht="12.75">
      <c r="J652" s="3"/>
    </row>
    <row r="653" ht="12.75">
      <c r="J653" s="3"/>
    </row>
    <row r="654" ht="12.75">
      <c r="J654" s="3"/>
    </row>
    <row r="655" ht="12.75">
      <c r="J655" s="3"/>
    </row>
    <row r="656" ht="12.75">
      <c r="J656" s="3"/>
    </row>
    <row r="657" ht="12.75">
      <c r="J657" s="3"/>
    </row>
    <row r="658" ht="12.75">
      <c r="J658" s="3"/>
    </row>
    <row r="659" ht="12.75">
      <c r="J659" s="3"/>
    </row>
    <row r="660" ht="12.75">
      <c r="J660" s="3"/>
    </row>
    <row r="661" ht="12.75">
      <c r="J661" s="3"/>
    </row>
    <row r="662" ht="12.75">
      <c r="J662" s="3"/>
    </row>
    <row r="663" ht="12.75">
      <c r="J663" s="3"/>
    </row>
    <row r="664" ht="12.75">
      <c r="J664" s="3"/>
    </row>
    <row r="665" ht="12.75">
      <c r="J665" s="3"/>
    </row>
    <row r="666" ht="12.75">
      <c r="J666" s="3"/>
    </row>
    <row r="667" ht="12.75">
      <c r="J667" s="3"/>
    </row>
    <row r="668" ht="12.75">
      <c r="J668" s="3"/>
    </row>
    <row r="669" ht="12.75">
      <c r="J669" s="3"/>
    </row>
    <row r="670" ht="12.75">
      <c r="J670" s="3"/>
    </row>
    <row r="671" ht="12.75">
      <c r="J671" s="3"/>
    </row>
    <row r="672" ht="12.75">
      <c r="J672" s="3"/>
    </row>
    <row r="673" ht="12.75">
      <c r="J673" s="3"/>
    </row>
    <row r="674" ht="12.75">
      <c r="J674" s="3"/>
    </row>
    <row r="675" ht="12.75">
      <c r="J675" s="3"/>
    </row>
    <row r="676" ht="12.75">
      <c r="J676" s="3"/>
    </row>
    <row r="677" ht="12.75">
      <c r="J677" s="3"/>
    </row>
    <row r="678" ht="12.75">
      <c r="J678" s="3"/>
    </row>
    <row r="679" ht="12.75">
      <c r="J679" s="3"/>
    </row>
    <row r="680" ht="12.75">
      <c r="J680" s="3"/>
    </row>
    <row r="681" ht="12.75">
      <c r="J681" s="3"/>
    </row>
    <row r="682" ht="12.75">
      <c r="J682" s="3"/>
    </row>
    <row r="683" ht="12.75">
      <c r="J683" s="3"/>
    </row>
    <row r="684" ht="12.75">
      <c r="J684" s="3"/>
    </row>
    <row r="685" ht="12.75">
      <c r="J685" s="3"/>
    </row>
    <row r="686" ht="12.75">
      <c r="J686" s="3"/>
    </row>
    <row r="687" ht="12.75">
      <c r="J687" s="3"/>
    </row>
    <row r="688" ht="12.75">
      <c r="J688" s="3"/>
    </row>
    <row r="689" ht="12.75">
      <c r="J689" s="3"/>
    </row>
    <row r="690" ht="12.75">
      <c r="J690" s="3"/>
    </row>
    <row r="691" ht="12.75">
      <c r="J691" s="3"/>
    </row>
    <row r="692" ht="12.75">
      <c r="J692" s="3"/>
    </row>
    <row r="693" ht="12.75">
      <c r="J693" s="3"/>
    </row>
    <row r="694" ht="12.75">
      <c r="J694" s="3"/>
    </row>
    <row r="695" ht="12.75">
      <c r="J695" s="3"/>
    </row>
    <row r="696" ht="12.75">
      <c r="J696" s="3"/>
    </row>
    <row r="697" ht="12.75">
      <c r="J697" s="3"/>
    </row>
    <row r="698" ht="12.75">
      <c r="J698" s="3"/>
    </row>
    <row r="699" ht="12.75">
      <c r="J699" s="3"/>
    </row>
    <row r="700" ht="12.75">
      <c r="J700" s="3"/>
    </row>
  </sheetData>
  <printOptions/>
  <pageMargins left="0.75" right="0.75" top="1" bottom="1" header="0.5" footer="0.5"/>
  <pageSetup horizontalDpi="600" verticalDpi="600" orientation="portrait" scale="79" r:id="rId1"/>
  <headerFooter alignWithMargins="0">
    <oddHeader>&amp;RExhibit No. ___ (WGJ-7)</oddHeader>
    <oddFooter>&amp;L&amp;"Geneva,Bold Italic"&amp;F&amp;R&amp;"Arial,Bold"&amp;12Page &amp;P of &amp;N</oddFooter>
  </headerFooter>
  <rowBreaks count="1" manualBreakCount="1"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workbookViewId="0" topLeftCell="A4">
      <pane xSplit="6930" ySplit="1590" topLeftCell="C10" activePane="bottomLeft" state="split"/>
      <selection pane="topLeft" activeCell="B82" sqref="B82"/>
      <selection pane="topRight" activeCell="B82" sqref="B82"/>
      <selection pane="bottomLeft" activeCell="B82" sqref="B82"/>
      <selection pane="bottomRight" activeCell="B82" sqref="B82"/>
    </sheetView>
  </sheetViews>
  <sheetFormatPr defaultColWidth="9.00390625" defaultRowHeight="12.75"/>
  <cols>
    <col min="1" max="1" width="36.625" style="0" customWidth="1"/>
    <col min="2" max="2" width="2.00390625" style="0" hidden="1" customWidth="1"/>
    <col min="3" max="15" width="13.75390625" style="0" customWidth="1"/>
    <col min="16" max="16384" width="11.375" style="0" customWidth="1"/>
  </cols>
  <sheetData>
    <row r="1" ht="18">
      <c r="A1" s="94" t="s">
        <v>37</v>
      </c>
    </row>
    <row r="2" ht="18">
      <c r="A2" s="94" t="s">
        <v>135</v>
      </c>
    </row>
    <row r="3" spans="1:9" ht="18">
      <c r="A3" s="94" t="s">
        <v>239</v>
      </c>
      <c r="I3" s="14"/>
    </row>
    <row r="4" spans="2:9" ht="12.75">
      <c r="B4" s="58"/>
      <c r="I4" s="14"/>
    </row>
    <row r="6" spans="3:15" ht="12.75">
      <c r="C6" s="40"/>
      <c r="D6" s="40">
        <v>744</v>
      </c>
      <c r="E6" s="40">
        <v>672</v>
      </c>
      <c r="F6" s="40">
        <v>743</v>
      </c>
      <c r="G6" s="40">
        <v>720</v>
      </c>
      <c r="H6" s="40">
        <v>744</v>
      </c>
      <c r="I6" s="40">
        <v>720</v>
      </c>
      <c r="J6" s="40">
        <v>744</v>
      </c>
      <c r="K6" s="40">
        <v>744</v>
      </c>
      <c r="L6" s="40">
        <v>720</v>
      </c>
      <c r="M6" s="40">
        <v>744</v>
      </c>
      <c r="N6" s="40">
        <v>721</v>
      </c>
      <c r="O6" s="40">
        <v>744</v>
      </c>
    </row>
    <row r="7" spans="3:15" ht="12.75">
      <c r="C7" s="24" t="s">
        <v>38</v>
      </c>
      <c r="D7" s="25">
        <v>38352</v>
      </c>
      <c r="E7" s="25">
        <v>38383</v>
      </c>
      <c r="F7" s="25">
        <v>38411</v>
      </c>
      <c r="G7" s="25">
        <v>38442</v>
      </c>
      <c r="H7" s="25">
        <v>38472</v>
      </c>
      <c r="I7" s="25">
        <v>38503</v>
      </c>
      <c r="J7" s="25">
        <v>38533</v>
      </c>
      <c r="K7" s="25">
        <v>38564</v>
      </c>
      <c r="L7" s="25">
        <v>38595</v>
      </c>
      <c r="M7" s="25">
        <v>38625</v>
      </c>
      <c r="N7" s="25">
        <v>38656</v>
      </c>
      <c r="O7" s="25">
        <v>38686</v>
      </c>
    </row>
    <row r="8" ht="12.75">
      <c r="C8" s="54"/>
    </row>
    <row r="9" spans="1:16" ht="12.75">
      <c r="A9" t="s">
        <v>120</v>
      </c>
      <c r="B9" s="5" t="s">
        <v>62</v>
      </c>
      <c r="C9" s="41">
        <f>SUM(D9:O9)</f>
        <v>-47953474.02984619</v>
      </c>
      <c r="D9" s="27">
        <f>Aurora!B37*1000</f>
        <v>-392108.94592285156</v>
      </c>
      <c r="E9" s="27">
        <f>Aurora!C37*1000</f>
        <v>-769144.4920349121</v>
      </c>
      <c r="F9" s="27">
        <f>Aurora!D37*1000</f>
        <v>-1197272.42477417</v>
      </c>
      <c r="G9" s="27">
        <f>Aurora!E37*1000</f>
        <v>-6476110.4638671875</v>
      </c>
      <c r="H9" s="27">
        <f>Aurora!F37*1000</f>
        <v>-9982010.766601562</v>
      </c>
      <c r="I9" s="27">
        <f>Aurora!G37*1000</f>
        <v>-8376891.673583984</v>
      </c>
      <c r="J9" s="27">
        <f>Aurora!H37*1000</f>
        <v>-7217985.52734375</v>
      </c>
      <c r="K9" s="27">
        <f>Aurora!I37*1000</f>
        <v>-2850077.947998047</v>
      </c>
      <c r="L9" s="27">
        <f>Aurora!J37*1000</f>
        <v>-2434344.8822021484</v>
      </c>
      <c r="M9" s="27">
        <f>Aurora!K37*1000</f>
        <v>-2087178.0249023435</v>
      </c>
      <c r="N9" s="27">
        <f>Aurora!L37*1000</f>
        <v>-3673973.9965820312</v>
      </c>
      <c r="O9" s="27">
        <f>Aurora!M37*1000</f>
        <v>-2496374.884033203</v>
      </c>
      <c r="P9" s="27"/>
    </row>
    <row r="10" spans="1:15" ht="12.75">
      <c r="A10" t="s">
        <v>121</v>
      </c>
      <c r="C10" s="28">
        <f>SUM(D10:O10)</f>
        <v>-998112.3274243166</v>
      </c>
      <c r="D10" s="3">
        <f>Aurora!B33*1000</f>
        <v>-5967.609272460936</v>
      </c>
      <c r="E10" s="3">
        <f>Aurora!C33*1000</f>
        <v>-11024.451367187501</v>
      </c>
      <c r="F10" s="3">
        <f>Aurora!D33*1000</f>
        <v>-18951.182692871094</v>
      </c>
      <c r="G10" s="3">
        <f>Aurora!E33*1000</f>
        <v>-130288.35718749999</v>
      </c>
      <c r="H10" s="3">
        <f>Aurora!F33*1000</f>
        <v>-228569.1090625</v>
      </c>
      <c r="I10" s="3">
        <f>Aurora!G33*1000</f>
        <v>-233769.110625</v>
      </c>
      <c r="J10" s="3">
        <f>Aurora!H33*1000</f>
        <v>-138711.56156250002</v>
      </c>
      <c r="K10" s="3">
        <f>Aurora!I33*1000</f>
        <v>-49246.28777343749</v>
      </c>
      <c r="L10" s="3">
        <f>Aurora!J33*1000</f>
        <v>-45570.89795898437</v>
      </c>
      <c r="M10" s="3">
        <f>Aurora!K33*1000</f>
        <v>-38317.1577734375</v>
      </c>
      <c r="N10" s="3">
        <f>Aurora!L33*1000</f>
        <v>-58091.353281250005</v>
      </c>
      <c r="O10" s="3">
        <f>Aurora!M33*1000</f>
        <v>-39605.2488671875</v>
      </c>
    </row>
    <row r="11" spans="1:15" ht="12.75" hidden="1">
      <c r="A11" t="s">
        <v>63</v>
      </c>
      <c r="C11" s="31">
        <f>C9/C10</f>
        <v>48.04416568382915</v>
      </c>
      <c r="D11" s="32">
        <f>D9/D10</f>
        <v>65.70620293998451</v>
      </c>
      <c r="E11" s="32">
        <f aca="true" t="shared" si="0" ref="E11:O11">E9/E10</f>
        <v>69.7671445423712</v>
      </c>
      <c r="F11" s="32">
        <f t="shared" si="0"/>
        <v>63.176659957193614</v>
      </c>
      <c r="G11" s="32">
        <f t="shared" si="0"/>
        <v>49.70597990231251</v>
      </c>
      <c r="H11" s="32">
        <f t="shared" si="0"/>
        <v>43.67174027821965</v>
      </c>
      <c r="I11" s="32">
        <f t="shared" si="0"/>
        <v>35.83404005425571</v>
      </c>
      <c r="J11" s="32">
        <f t="shared" si="0"/>
        <v>52.03593302560799</v>
      </c>
      <c r="K11" s="32">
        <f t="shared" si="0"/>
        <v>57.87396526434881</v>
      </c>
      <c r="L11" s="32">
        <f t="shared" si="0"/>
        <v>53.418848239355654</v>
      </c>
      <c r="M11" s="32">
        <f t="shared" si="0"/>
        <v>54.471107623468676</v>
      </c>
      <c r="N11" s="32">
        <f t="shared" si="0"/>
        <v>63.24476516831069</v>
      </c>
      <c r="O11" s="32">
        <f t="shared" si="0"/>
        <v>63.03141516430215</v>
      </c>
    </row>
    <row r="12" spans="1:15" ht="12.75">
      <c r="A12" t="s">
        <v>119</v>
      </c>
      <c r="C12" s="55">
        <f>C9/C10</f>
        <v>48.04416568382915</v>
      </c>
      <c r="D12" s="53">
        <f>D9/D10</f>
        <v>65.70620293998451</v>
      </c>
      <c r="E12" s="53">
        <f aca="true" t="shared" si="1" ref="E12:O12">E9/E10</f>
        <v>69.7671445423712</v>
      </c>
      <c r="F12" s="53">
        <f t="shared" si="1"/>
        <v>63.176659957193614</v>
      </c>
      <c r="G12" s="53">
        <f t="shared" si="1"/>
        <v>49.70597990231251</v>
      </c>
      <c r="H12" s="53">
        <f t="shared" si="1"/>
        <v>43.67174027821965</v>
      </c>
      <c r="I12" s="53">
        <f t="shared" si="1"/>
        <v>35.83404005425571</v>
      </c>
      <c r="J12" s="53">
        <f t="shared" si="1"/>
        <v>52.03593302560799</v>
      </c>
      <c r="K12" s="53">
        <f t="shared" si="1"/>
        <v>57.87396526434881</v>
      </c>
      <c r="L12" s="53">
        <f t="shared" si="1"/>
        <v>53.418848239355654</v>
      </c>
      <c r="M12" s="53">
        <f t="shared" si="1"/>
        <v>54.471107623468676</v>
      </c>
      <c r="N12" s="53">
        <f t="shared" si="1"/>
        <v>63.24476516831069</v>
      </c>
      <c r="O12" s="53">
        <f t="shared" si="1"/>
        <v>63.03141516430215</v>
      </c>
    </row>
    <row r="13" spans="1:15" ht="12.75">
      <c r="A13" t="s">
        <v>122</v>
      </c>
      <c r="B13" s="5" t="s">
        <v>62</v>
      </c>
      <c r="C13" s="41">
        <f>SUM(D13:O13)</f>
        <v>84588209.61348057</v>
      </c>
      <c r="D13" s="27">
        <f>Aurora!B36*1000</f>
        <v>16872676.728515625</v>
      </c>
      <c r="E13" s="27">
        <f>Aurora!C36*1000</f>
        <v>10069874.51171875</v>
      </c>
      <c r="F13" s="27">
        <f>Aurora!D36*1000</f>
        <v>10297634.860839844</v>
      </c>
      <c r="G13" s="27">
        <f>Aurora!E36*1000</f>
        <v>2732114.345436096</v>
      </c>
      <c r="H13" s="27">
        <f>Aurora!F36*1000</f>
        <v>767461.2027978897</v>
      </c>
      <c r="I13" s="27">
        <f>Aurora!G36*1000</f>
        <v>1023338.4841918945</v>
      </c>
      <c r="J13" s="27">
        <f>Aurora!H36*1000</f>
        <v>3479623.648071289</v>
      </c>
      <c r="K13" s="27">
        <f>Aurora!I36*1000</f>
        <v>7323975.5810546875</v>
      </c>
      <c r="L13" s="27">
        <f>Aurora!J36*1000</f>
        <v>7918350.60546875</v>
      </c>
      <c r="M13" s="27">
        <f>Aurora!K36*1000</f>
        <v>9216497.138671875</v>
      </c>
      <c r="N13" s="27">
        <f>Aurora!L36*1000</f>
        <v>6876223.6865234375</v>
      </c>
      <c r="O13" s="27">
        <f>Aurora!M36*1000</f>
        <v>8010438.82019043</v>
      </c>
    </row>
    <row r="14" spans="1:15" s="3" customFormat="1" ht="12.75">
      <c r="A14" s="3" t="s">
        <v>126</v>
      </c>
      <c r="C14" s="29">
        <f>SUM(D14:O14)</f>
        <v>1112734.3217536164</v>
      </c>
      <c r="D14" s="3">
        <f>Aurora!B32*1000</f>
        <v>232248.11609375002</v>
      </c>
      <c r="E14" s="3">
        <f>Aurora!C32*1000</f>
        <v>129283.61015625001</v>
      </c>
      <c r="F14" s="3">
        <f>Aurora!D32*1000</f>
        <v>137955.88375</v>
      </c>
      <c r="G14" s="3">
        <f>Aurora!E32*1000</f>
        <v>38750.87713500977</v>
      </c>
      <c r="H14" s="3">
        <f>Aurora!F32*1000</f>
        <v>10251.291613235473</v>
      </c>
      <c r="I14" s="3">
        <f>Aurora!G32*1000</f>
        <v>15733.44453857422</v>
      </c>
      <c r="J14" s="3">
        <f>Aurora!H32*1000</f>
        <v>39337.851767578126</v>
      </c>
      <c r="K14" s="3">
        <f>Aurora!I32*1000</f>
        <v>82389.58218750001</v>
      </c>
      <c r="L14" s="3">
        <f>Aurora!J32*1000</f>
        <v>98770.771328125</v>
      </c>
      <c r="M14" s="3">
        <f>Aurora!K32*1000</f>
        <v>128668.3209375</v>
      </c>
      <c r="N14" s="3">
        <f>Aurora!L32*1000</f>
        <v>91493.410859375</v>
      </c>
      <c r="O14" s="3">
        <f>Aurora!M32*1000</f>
        <v>107851.16138671874</v>
      </c>
    </row>
    <row r="15" spans="1:15" ht="12.75" hidden="1">
      <c r="A15" s="3" t="s">
        <v>64</v>
      </c>
      <c r="C15" s="31">
        <f>C13/C14</f>
        <v>76.018334259856</v>
      </c>
      <c r="D15" s="32">
        <f>D13/D14</f>
        <v>72.64935885079363</v>
      </c>
      <c r="E15" s="32">
        <f aca="true" t="shared" si="2" ref="E15:O15">E13/E14</f>
        <v>77.88979979402237</v>
      </c>
      <c r="F15" s="32">
        <f t="shared" si="2"/>
        <v>74.64440501501875</v>
      </c>
      <c r="G15" s="32">
        <f t="shared" si="2"/>
        <v>70.50458073290288</v>
      </c>
      <c r="H15" s="32">
        <f t="shared" si="2"/>
        <v>74.86482989197364</v>
      </c>
      <c r="I15" s="32">
        <f t="shared" si="2"/>
        <v>65.04224053944073</v>
      </c>
      <c r="J15" s="32">
        <f t="shared" si="2"/>
        <v>88.45484671176581</v>
      </c>
      <c r="K15" s="32">
        <f t="shared" si="2"/>
        <v>88.8944377019291</v>
      </c>
      <c r="L15" s="32">
        <f t="shared" si="2"/>
        <v>80.16896597034064</v>
      </c>
      <c r="M15" s="32">
        <f t="shared" si="2"/>
        <v>71.62988582985196</v>
      </c>
      <c r="N15" s="32">
        <f t="shared" si="2"/>
        <v>75.15539777058007</v>
      </c>
      <c r="O15" s="32">
        <f t="shared" si="2"/>
        <v>74.27308818184753</v>
      </c>
    </row>
    <row r="16" spans="1:15" ht="12.75">
      <c r="A16" s="3" t="s">
        <v>124</v>
      </c>
      <c r="C16" s="55">
        <f>C13/C14</f>
        <v>76.018334259856</v>
      </c>
      <c r="D16" s="53">
        <f>D13/D14</f>
        <v>72.64935885079363</v>
      </c>
      <c r="E16" s="53">
        <f aca="true" t="shared" si="3" ref="E16:O16">E13/E14</f>
        <v>77.88979979402237</v>
      </c>
      <c r="F16" s="53">
        <f t="shared" si="3"/>
        <v>74.64440501501875</v>
      </c>
      <c r="G16" s="53">
        <f t="shared" si="3"/>
        <v>70.50458073290288</v>
      </c>
      <c r="H16" s="53">
        <f t="shared" si="3"/>
        <v>74.86482989197364</v>
      </c>
      <c r="I16" s="53"/>
      <c r="J16" s="53">
        <f t="shared" si="3"/>
        <v>88.45484671176581</v>
      </c>
      <c r="K16" s="53">
        <f t="shared" si="3"/>
        <v>88.8944377019291</v>
      </c>
      <c r="L16" s="53">
        <f t="shared" si="3"/>
        <v>80.16896597034064</v>
      </c>
      <c r="M16" s="53">
        <f t="shared" si="3"/>
        <v>71.62988582985196</v>
      </c>
      <c r="N16" s="53">
        <f t="shared" si="3"/>
        <v>75.15539777058007</v>
      </c>
      <c r="O16" s="53">
        <f t="shared" si="3"/>
        <v>74.27308818184753</v>
      </c>
    </row>
    <row r="17" spans="1:15" ht="12.75">
      <c r="A17" t="s">
        <v>123</v>
      </c>
      <c r="C17" s="29">
        <f>C14+C10</f>
        <v>114621.9943292999</v>
      </c>
      <c r="D17" s="19">
        <f>D14+D10</f>
        <v>226280.50682128908</v>
      </c>
      <c r="E17" s="19">
        <f>E14+E10</f>
        <v>118259.15878906251</v>
      </c>
      <c r="F17" s="19">
        <f aca="true" t="shared" si="4" ref="F17:O17">F14+F10</f>
        <v>119004.70105712891</v>
      </c>
      <c r="G17" s="19">
        <f t="shared" si="4"/>
        <v>-91537.48005249022</v>
      </c>
      <c r="H17" s="19">
        <f t="shared" si="4"/>
        <v>-218317.81744926452</v>
      </c>
      <c r="I17" s="19">
        <f t="shared" si="4"/>
        <v>-218035.66608642577</v>
      </c>
      <c r="J17" s="19">
        <f t="shared" si="4"/>
        <v>-99373.70979492189</v>
      </c>
      <c r="K17" s="19">
        <f t="shared" si="4"/>
        <v>33143.29441406252</v>
      </c>
      <c r="L17" s="19">
        <f t="shared" si="4"/>
        <v>53199.87336914063</v>
      </c>
      <c r="M17" s="19">
        <f t="shared" si="4"/>
        <v>90351.1631640625</v>
      </c>
      <c r="N17" s="19">
        <f t="shared" si="4"/>
        <v>33402.05757812499</v>
      </c>
      <c r="O17" s="19">
        <f t="shared" si="4"/>
        <v>68245.91251953124</v>
      </c>
    </row>
    <row r="18" spans="1:15" ht="12.75">
      <c r="A18" t="s">
        <v>125</v>
      </c>
      <c r="C18" s="131">
        <f>C17/8760</f>
        <v>13.084702549006836</v>
      </c>
      <c r="D18" s="3">
        <f>D17/D6</f>
        <v>304.1404661576466</v>
      </c>
      <c r="E18" s="3">
        <f aca="true" t="shared" si="5" ref="E18:O18">E17/E6</f>
        <v>175.98089105515254</v>
      </c>
      <c r="F18" s="3">
        <f t="shared" si="5"/>
        <v>160.16783453180204</v>
      </c>
      <c r="G18" s="3">
        <f t="shared" si="5"/>
        <v>-127.13538896179197</v>
      </c>
      <c r="H18" s="3">
        <f t="shared" si="5"/>
        <v>-293.43792667911896</v>
      </c>
      <c r="I18" s="3">
        <f t="shared" si="5"/>
        <v>-302.8273140089247</v>
      </c>
      <c r="J18" s="3">
        <f t="shared" si="5"/>
        <v>-133.5668142404864</v>
      </c>
      <c r="K18" s="3">
        <f t="shared" si="5"/>
        <v>44.547438728578655</v>
      </c>
      <c r="L18" s="3">
        <f t="shared" si="5"/>
        <v>73.88871301269532</v>
      </c>
      <c r="M18" s="3">
        <f t="shared" si="5"/>
        <v>121.43973543556787</v>
      </c>
      <c r="N18" s="3">
        <f t="shared" si="5"/>
        <v>46.3274030209778</v>
      </c>
      <c r="O18" s="3">
        <f t="shared" si="5"/>
        <v>91.7283770423807</v>
      </c>
    </row>
    <row r="19" spans="1:15" ht="12.75">
      <c r="A19" t="s">
        <v>127</v>
      </c>
      <c r="C19" s="84">
        <f>(-C9+C13)/(-C10+C14)</f>
        <v>62.79076866855532</v>
      </c>
      <c r="D19" s="32">
        <f>(-D9+D13)/(-D10+D14)</f>
        <v>72.47542389528307</v>
      </c>
      <c r="E19" s="32">
        <f>(-E9+E13)/(-E10+E14)</f>
        <v>77.25157689491047</v>
      </c>
      <c r="F19" s="32">
        <f aca="true" t="shared" si="6" ref="F19:O19">(-F9+F13)/(-F10+F14)</f>
        <v>73.2593346253098</v>
      </c>
      <c r="G19" s="32">
        <f t="shared" si="6"/>
        <v>54.47389090591195</v>
      </c>
      <c r="H19" s="32">
        <f t="shared" si="6"/>
        <v>45.0106939733127</v>
      </c>
      <c r="I19" s="32">
        <f t="shared" si="6"/>
        <v>37.675887333550854</v>
      </c>
      <c r="J19" s="32">
        <f t="shared" si="6"/>
        <v>60.08224894054102</v>
      </c>
      <c r="K19" s="32">
        <f t="shared" si="6"/>
        <v>77.28937053458036</v>
      </c>
      <c r="L19" s="32">
        <f t="shared" si="6"/>
        <v>71.72353997845485</v>
      </c>
      <c r="M19" s="32">
        <f t="shared" si="6"/>
        <v>67.69256375365191</v>
      </c>
      <c r="N19" s="32">
        <f t="shared" si="6"/>
        <v>70.52989483064734</v>
      </c>
      <c r="O19" s="32">
        <f t="shared" si="6"/>
        <v>71.25369243786605</v>
      </c>
    </row>
    <row r="20" spans="3:15" ht="12.75">
      <c r="C20" s="3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7" s="3" customFormat="1" ht="12.75">
      <c r="A21" s="3" t="s">
        <v>39</v>
      </c>
      <c r="C21" s="29">
        <f>SUM(D21:O21)</f>
        <v>1730443.4246093747</v>
      </c>
      <c r="D21" s="3">
        <f>Aurora!B6*1000</f>
        <v>155637.423515625</v>
      </c>
      <c r="E21" s="3">
        <f>Aurora!C6*1000</f>
        <v>142868.34375</v>
      </c>
      <c r="F21" s="3">
        <f>Aurora!D6*1000</f>
        <v>152289.8559375</v>
      </c>
      <c r="G21" s="3">
        <f>Aurora!E6*1000</f>
        <v>126013.638359375</v>
      </c>
      <c r="H21" s="3">
        <f>Aurora!F6*1000</f>
        <v>106152.74445312501</v>
      </c>
      <c r="I21" s="3">
        <f>Aurora!G6*1000</f>
        <v>116028.27859375</v>
      </c>
      <c r="J21" s="3">
        <f>Aurora!H6*1000</f>
        <v>154810.05421875</v>
      </c>
      <c r="K21" s="3">
        <f>Aurora!I6*1000</f>
        <v>158125.40015625</v>
      </c>
      <c r="L21" s="3">
        <f>Aurora!J6*1000</f>
        <v>152933.54546875</v>
      </c>
      <c r="M21" s="3">
        <f>Aurora!K6*1000</f>
        <v>156893.5003125</v>
      </c>
      <c r="N21" s="3">
        <f>Aurora!L6*1000</f>
        <v>153073.21875</v>
      </c>
      <c r="O21" s="3">
        <f>Aurora!M6*1000</f>
        <v>155617.42109375</v>
      </c>
      <c r="P21" s="3">
        <f>C21/8760</f>
        <v>197.53920372253137</v>
      </c>
      <c r="Q21" s="130">
        <f>P21/230</f>
        <v>0.8588661031414407</v>
      </c>
    </row>
    <row r="22" spans="1:15" ht="12.75">
      <c r="A22" s="3" t="s">
        <v>115</v>
      </c>
      <c r="C22" s="77">
        <f>C23/C21</f>
        <v>11.209276621352979</v>
      </c>
      <c r="D22" s="81">
        <f>D23/D21</f>
        <v>11.203344171313521</v>
      </c>
      <c r="E22" s="81">
        <f aca="true" t="shared" si="7" ref="E22:O22">E23/E21</f>
        <v>11.200049824609064</v>
      </c>
      <c r="F22" s="81">
        <f t="shared" si="7"/>
        <v>11.203695916297786</v>
      </c>
      <c r="G22" s="81">
        <f t="shared" si="7"/>
        <v>11.200184282074462</v>
      </c>
      <c r="H22" s="81">
        <f t="shared" si="7"/>
        <v>11.240911138494402</v>
      </c>
      <c r="I22" s="81">
        <f t="shared" si="7"/>
        <v>11.27643111847304</v>
      </c>
      <c r="J22" s="81">
        <f t="shared" si="7"/>
        <v>11.209972253490294</v>
      </c>
      <c r="K22" s="81">
        <f t="shared" si="7"/>
        <v>11.20028396320185</v>
      </c>
      <c r="L22" s="81">
        <f t="shared" si="7"/>
        <v>11.200686253300862</v>
      </c>
      <c r="M22" s="81">
        <f t="shared" si="7"/>
        <v>11.200054649095556</v>
      </c>
      <c r="N22" s="81">
        <f t="shared" si="7"/>
        <v>11.200050200649486</v>
      </c>
      <c r="O22" s="81">
        <f t="shared" si="7"/>
        <v>11.200116195166714</v>
      </c>
    </row>
    <row r="23" spans="1:15" ht="12.75">
      <c r="A23" t="s">
        <v>40</v>
      </c>
      <c r="C23" s="33">
        <f>SUM(D23:O23)</f>
        <v>19397019.02404785</v>
      </c>
      <c r="D23" s="34">
        <f>Aurora!B24*1000</f>
        <v>1743659.6215820312</v>
      </c>
      <c r="E23" s="34">
        <f>Aurora!C24*1000</f>
        <v>1600132.568359375</v>
      </c>
      <c r="F23" s="34">
        <f>Aurora!D24*1000</f>
        <v>1706209.2370605469</v>
      </c>
      <c r="G23" s="34">
        <f>Aurora!E24*1000</f>
        <v>1411375.9716796875</v>
      </c>
      <c r="H23" s="34">
        <f>Aurora!F24*1000</f>
        <v>1193253.5675048828</v>
      </c>
      <c r="I23" s="34">
        <f>Aurora!G24*1000</f>
        <v>1308384.8913574219</v>
      </c>
      <c r="J23" s="34">
        <f>Aurora!H24*1000</f>
        <v>1735416.4123535156</v>
      </c>
      <c r="K23" s="34">
        <f>Aurora!I24*1000</f>
        <v>1771049.3835449219</v>
      </c>
      <c r="L23" s="34">
        <f>Aurora!J24*1000</f>
        <v>1712960.6604003906</v>
      </c>
      <c r="M23" s="34">
        <f>Aurora!K24*1000</f>
        <v>1757215.7775878906</v>
      </c>
      <c r="N23" s="34">
        <f>Aurora!L24*1000</f>
        <v>1714427.734375</v>
      </c>
      <c r="O23" s="34">
        <f>Aurora!M24*1000</f>
        <v>1742933.1982421875</v>
      </c>
    </row>
    <row r="24" ht="12.75">
      <c r="C24" s="31"/>
    </row>
    <row r="25" spans="1:16" s="3" customFormat="1" ht="12.75">
      <c r="A25" s="3" t="s">
        <v>41</v>
      </c>
      <c r="C25" s="29">
        <f>SUM(D25:O25)</f>
        <v>334013.2284204102</v>
      </c>
      <c r="D25" s="3">
        <f>Aurora!B8*1000</f>
        <v>32330.93743164063</v>
      </c>
      <c r="E25" s="3">
        <f>Aurora!C8*1000</f>
        <v>31259.706718749996</v>
      </c>
      <c r="F25" s="3">
        <f>Aurora!D8*1000</f>
        <v>34076.68373535156</v>
      </c>
      <c r="G25" s="3">
        <f>Aurora!E8*1000</f>
        <v>32375.835429687497</v>
      </c>
      <c r="H25" s="3">
        <f>Aurora!F8*1000</f>
        <v>1115.8701342773436</v>
      </c>
      <c r="I25" s="3">
        <f>Aurora!G8*1000</f>
        <v>0</v>
      </c>
      <c r="J25" s="3">
        <f>Aurora!H8*1000</f>
        <v>31751.149560546877</v>
      </c>
      <c r="K25" s="3">
        <f>Aurora!I8*1000</f>
        <v>34749.961484374995</v>
      </c>
      <c r="L25" s="3">
        <f>Aurora!J8*1000</f>
        <v>33062.873554687496</v>
      </c>
      <c r="M25" s="3">
        <f>Aurora!K8*1000</f>
        <v>34908.274218750004</v>
      </c>
      <c r="N25" s="3">
        <f>Aurora!L8*1000</f>
        <v>33886.0828125</v>
      </c>
      <c r="O25" s="3">
        <f>Aurora!M8*1000</f>
        <v>34495.85333984375</v>
      </c>
      <c r="P25" s="3">
        <f>C25/8760</f>
        <v>38.12936397493267</v>
      </c>
    </row>
    <row r="26" spans="1:15" ht="12.75">
      <c r="A26" s="3" t="s">
        <v>114</v>
      </c>
      <c r="C26" s="77">
        <f aca="true" t="shared" si="8" ref="C26:O26">C27/C25</f>
        <v>35.40834715297648</v>
      </c>
      <c r="D26" s="81">
        <f>D27/D25</f>
        <v>35.56908466766835</v>
      </c>
      <c r="E26" s="81">
        <f t="shared" si="8"/>
        <v>35.35429643302596</v>
      </c>
      <c r="F26" s="81">
        <f t="shared" si="8"/>
        <v>35.34241903768266</v>
      </c>
      <c r="G26" s="81">
        <f t="shared" si="8"/>
        <v>35.50459543251386</v>
      </c>
      <c r="H26" s="81">
        <f t="shared" si="8"/>
        <v>36.42672225599274</v>
      </c>
      <c r="I26" s="81"/>
      <c r="J26" s="81">
        <f t="shared" si="8"/>
        <v>35.60423156384764</v>
      </c>
      <c r="K26" s="81">
        <f t="shared" si="8"/>
        <v>35.32615665084359</v>
      </c>
      <c r="L26" s="81">
        <f t="shared" si="8"/>
        <v>35.39431654554688</v>
      </c>
      <c r="M26" s="81">
        <f t="shared" si="8"/>
        <v>35.31307906361115</v>
      </c>
      <c r="N26" s="81">
        <f t="shared" si="8"/>
        <v>35.29989776061734</v>
      </c>
      <c r="O26" s="81">
        <f t="shared" si="8"/>
        <v>35.36741345826761</v>
      </c>
    </row>
    <row r="27" spans="1:15" ht="12.75">
      <c r="A27" t="s">
        <v>42</v>
      </c>
      <c r="C27" s="33">
        <f>SUM(D27:O27)</f>
        <v>11826856.345596313</v>
      </c>
      <c r="D27" s="35">
        <f>Aurora!B26*1000</f>
        <v>1149981.8508911133</v>
      </c>
      <c r="E27" s="35">
        <f>Aurora!C26*1000</f>
        <v>1105164.9377441406</v>
      </c>
      <c r="F27" s="35">
        <f>Aurora!D26*1000</f>
        <v>1204352.4359893799</v>
      </c>
      <c r="G27" s="35">
        <f>Aurora!E26*1000</f>
        <v>1149490.9387207031</v>
      </c>
      <c r="H27" s="35">
        <f>Aurora!F26*1000</f>
        <v>40647.491455078125</v>
      </c>
      <c r="I27" s="35">
        <f>Aurora!G26*1000</f>
        <v>0</v>
      </c>
      <c r="J27" s="35">
        <f>Aurora!H26*1000</f>
        <v>1130475.2813720703</v>
      </c>
      <c r="K27" s="35">
        <f>Aurora!I26*1000</f>
        <v>1227582.5830078125</v>
      </c>
      <c r="L27" s="35">
        <f>Aurora!J26*1000</f>
        <v>1170237.8125</v>
      </c>
      <c r="M27" s="35">
        <f>Aurora!K26*1000</f>
        <v>1232718.6474609375</v>
      </c>
      <c r="N27" s="35">
        <f>Aurora!L26*1000</f>
        <v>1196175.2587890625</v>
      </c>
      <c r="O27" s="35">
        <f>Aurora!M26*1000</f>
        <v>1220029.1076660156</v>
      </c>
    </row>
    <row r="28" spans="3:15" ht="12.75">
      <c r="C28" s="8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6" ht="12.75">
      <c r="A29" t="s">
        <v>101</v>
      </c>
      <c r="C29" s="29">
        <f>SUM(D29:O29)</f>
        <v>1241157.4104687502</v>
      </c>
      <c r="D29" s="3">
        <f>Aurora!B7*1000</f>
        <v>85427.46375</v>
      </c>
      <c r="E29" s="3">
        <f>Aurora!C7*1000</f>
        <v>96947.5559375</v>
      </c>
      <c r="F29" s="3">
        <f>Aurora!D7*1000</f>
        <v>86360.23208007812</v>
      </c>
      <c r="G29" s="3">
        <f>Aurora!E7*1000</f>
        <v>57723.75197265625</v>
      </c>
      <c r="H29" s="3">
        <f>Aurora!F7*1000</f>
        <v>39684.60779296875</v>
      </c>
      <c r="I29" s="3">
        <f>Aurora!G7*1000</f>
        <v>44072.865615234376</v>
      </c>
      <c r="J29" s="3">
        <f>Aurora!H7*1000</f>
        <v>114038.49045898436</v>
      </c>
      <c r="K29" s="3">
        <f>Aurora!I7*1000</f>
        <v>159600.745625</v>
      </c>
      <c r="L29" s="3">
        <f>Aurora!J7*1000</f>
        <v>149366.00921875</v>
      </c>
      <c r="M29" s="3">
        <f>Aurora!K7*1000</f>
        <v>132189.693515625</v>
      </c>
      <c r="N29" s="3">
        <f>Aurora!L7*1000</f>
        <v>154560.81031250002</v>
      </c>
      <c r="O29" s="3">
        <f>Aurora!M7*1000</f>
        <v>121185.18418945314</v>
      </c>
      <c r="P29" s="3">
        <f>C29/8760</f>
        <v>141.68463589825916</v>
      </c>
    </row>
    <row r="30" spans="1:15" ht="12.75">
      <c r="A30" t="s">
        <v>112</v>
      </c>
      <c r="C30" s="77">
        <f>C31/C29</f>
        <v>61.659191537934085</v>
      </c>
      <c r="D30" s="81">
        <f>D31/D29</f>
        <v>69.47680280495119</v>
      </c>
      <c r="E30" s="81">
        <f aca="true" t="shared" si="9" ref="E30:O30">E31/E29</f>
        <v>68.8404497093278</v>
      </c>
      <c r="F30" s="81">
        <f t="shared" si="9"/>
        <v>67.30338661920173</v>
      </c>
      <c r="G30" s="81">
        <f t="shared" si="9"/>
        <v>58.08477228829246</v>
      </c>
      <c r="H30" s="81">
        <f t="shared" si="9"/>
        <v>57.57033616149909</v>
      </c>
      <c r="I30" s="81">
        <f t="shared" si="9"/>
        <v>58.46670563151559</v>
      </c>
      <c r="J30" s="81">
        <f t="shared" si="9"/>
        <v>59.1742719591924</v>
      </c>
      <c r="K30" s="81">
        <f t="shared" si="9"/>
        <v>58.75682172154333</v>
      </c>
      <c r="L30" s="81">
        <f t="shared" si="9"/>
        <v>58.65807921186433</v>
      </c>
      <c r="M30" s="81">
        <f t="shared" si="9"/>
        <v>59.333571477139664</v>
      </c>
      <c r="N30" s="81">
        <f t="shared" si="9"/>
        <v>60.92485168465672</v>
      </c>
      <c r="O30" s="81">
        <f t="shared" si="9"/>
        <v>63.916906368641975</v>
      </c>
    </row>
    <row r="31" spans="1:15" ht="12.75">
      <c r="A31" t="s">
        <v>99</v>
      </c>
      <c r="C31" s="33">
        <f>SUM(D31:O31)</f>
        <v>76528762.50081894</v>
      </c>
      <c r="D31" s="27">
        <f>Aurora!B25*1000</f>
        <v>5935227.053085865</v>
      </c>
      <c r="E31" s="27">
        <f>Aurora!C25*1000</f>
        <v>6673913.348957713</v>
      </c>
      <c r="F31" s="27">
        <f>Aurora!D25*1000</f>
        <v>5812336.088209486</v>
      </c>
      <c r="G31" s="27">
        <f>Aurora!E25*1000</f>
        <v>3352870.9889576114</v>
      </c>
      <c r="H31" s="27">
        <f>Aurora!F25*1000</f>
        <v>2284656.2110784575</v>
      </c>
      <c r="I31" s="27">
        <f>Aurora!G25*1000</f>
        <v>2576795.2602632535</v>
      </c>
      <c r="J31" s="27">
        <f>Aurora!H25*1000</f>
        <v>6748144.6482357085</v>
      </c>
      <c r="K31" s="27">
        <f>Aurora!I25*1000</f>
        <v>9377632.557313513</v>
      </c>
      <c r="L31" s="27">
        <f>Aurora!J25*1000</f>
        <v>8761523.200313495</v>
      </c>
      <c r="M31" s="27">
        <f>Aurora!K25*1000</f>
        <v>7843286.628750522</v>
      </c>
      <c r="N31" s="27">
        <f>Aurora!L25*1000</f>
        <v>9416594.444549425</v>
      </c>
      <c r="O31" s="27">
        <f>Aurora!M25*1000</f>
        <v>7745782.071103908</v>
      </c>
    </row>
    <row r="32" spans="3:15" ht="12.75"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7" ht="12.75">
      <c r="A33" t="s">
        <v>66</v>
      </c>
      <c r="C33" s="29">
        <f>SUM(D33:O33)</f>
        <v>6083.158963958472</v>
      </c>
      <c r="D33" s="3">
        <f>Aurora!B5*1000</f>
        <v>222.5904861211777</v>
      </c>
      <c r="E33" s="3">
        <f>Aurora!C5*1000</f>
        <v>250.77199226379392</v>
      </c>
      <c r="F33" s="3">
        <f>Aurora!D5*1000</f>
        <v>71.18519320011139</v>
      </c>
      <c r="G33" s="3">
        <f>Aurora!E5*1000</f>
        <v>474.2864483833313</v>
      </c>
      <c r="H33" s="3">
        <f>Aurora!F5*1000</f>
        <v>443.2133536148071</v>
      </c>
      <c r="I33" s="3">
        <f>Aurora!G5*1000</f>
        <v>140.0002793931961</v>
      </c>
      <c r="J33" s="3">
        <f>Aurora!H5*1000</f>
        <v>1307.2667701911926</v>
      </c>
      <c r="K33" s="3">
        <f>Aurora!I5*1000</f>
        <v>1880.9600628662108</v>
      </c>
      <c r="L33" s="3">
        <f>Aurora!J5*1000</f>
        <v>1115.9165069580079</v>
      </c>
      <c r="M33" s="3">
        <f>Aurora!K5*1000</f>
        <v>84.10068340301514</v>
      </c>
      <c r="N33" s="3">
        <f>Aurora!L5*1000</f>
        <v>63.34239289090038</v>
      </c>
      <c r="O33" s="3">
        <f>Aurora!M5*1000</f>
        <v>29.524794672727587</v>
      </c>
      <c r="P33" s="3">
        <f>C33/8760</f>
        <v>0.6944245392646657</v>
      </c>
      <c r="Q33" s="92">
        <f>SUM(P33:P45)</f>
        <v>2.652958839791227</v>
      </c>
    </row>
    <row r="34" spans="1:15" ht="12.75">
      <c r="A34" t="s">
        <v>113</v>
      </c>
      <c r="C34" s="77">
        <f>C35/C33</f>
        <v>82.37802758913173</v>
      </c>
      <c r="D34" s="81">
        <f>IF(D33&gt;0,D35/D33,"")</f>
        <v>93.72695154620757</v>
      </c>
      <c r="E34" s="81">
        <f aca="true" t="shared" si="10" ref="E34:O34">IF(E33&gt;0,E35/E33,"")</f>
        <v>94.9733854335538</v>
      </c>
      <c r="F34" s="81">
        <f t="shared" si="10"/>
        <v>94.4498908127895</v>
      </c>
      <c r="G34" s="81">
        <f t="shared" si="10"/>
        <v>79.72672715649578</v>
      </c>
      <c r="H34" s="81">
        <f t="shared" si="10"/>
        <v>78.83902660426371</v>
      </c>
      <c r="I34" s="81">
        <f t="shared" si="10"/>
        <v>78.24195831823131</v>
      </c>
      <c r="J34" s="81">
        <f t="shared" si="10"/>
        <v>81.08950215837794</v>
      </c>
      <c r="K34" s="81">
        <f t="shared" si="10"/>
        <v>81.99411231860825</v>
      </c>
      <c r="L34" s="81">
        <f t="shared" si="10"/>
        <v>81.4792092188217</v>
      </c>
      <c r="M34" s="81">
        <f t="shared" si="10"/>
        <v>79.28869975696425</v>
      </c>
      <c r="N34" s="81">
        <f t="shared" si="10"/>
        <v>85.4386283303715</v>
      </c>
      <c r="O34" s="81">
        <f t="shared" si="10"/>
        <v>93.77613059681053</v>
      </c>
    </row>
    <row r="35" spans="1:15" ht="12.75">
      <c r="A35" t="s">
        <v>65</v>
      </c>
      <c r="C35" s="33">
        <f>SUM(D35:O35)</f>
        <v>501118.636962045</v>
      </c>
      <c r="D35" s="27">
        <f>Aurora!B23*1000</f>
        <v>20862.727707326412</v>
      </c>
      <c r="E35" s="27">
        <f>Aurora!C23*1000</f>
        <v>23816.665077209473</v>
      </c>
      <c r="F35" s="27">
        <f>Aurora!D23*1000</f>
        <v>6723.433725237846</v>
      </c>
      <c r="G35" s="27">
        <f>Aurora!E23*1000</f>
        <v>37813.30626428127</v>
      </c>
      <c r="H35" s="27">
        <f>Aurora!F23*1000</f>
        <v>34942.509377002716</v>
      </c>
      <c r="I35" s="27">
        <f>Aurora!G23*1000</f>
        <v>10953.896024823189</v>
      </c>
      <c r="J35" s="27">
        <f>Aurora!H23*1000</f>
        <v>106005.61158299446</v>
      </c>
      <c r="K35" s="27">
        <f>Aurora!I23*1000</f>
        <v>154227.6506614685</v>
      </c>
      <c r="L35" s="27">
        <f>Aurora!J23*1000</f>
        <v>90923.99454116821</v>
      </c>
      <c r="M35" s="27">
        <f>Aurora!K23*1000</f>
        <v>6668.233835697174</v>
      </c>
      <c r="N35" s="27">
        <f>Aurora!L23*1000</f>
        <v>5411.887163762003</v>
      </c>
      <c r="O35" s="27">
        <f>Aurora!M23*1000</f>
        <v>2768.721001073718</v>
      </c>
    </row>
    <row r="36" spans="3:15" ht="12.75"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6" ht="12.75">
      <c r="A37" t="s">
        <v>68</v>
      </c>
      <c r="C37" s="29">
        <f>SUM(D37:O37)</f>
        <v>4375.972375688851</v>
      </c>
      <c r="D37" s="3">
        <f>Aurora!B9*1000</f>
        <v>172.4203459382057</v>
      </c>
      <c r="E37" s="3">
        <f>Aurora!C9*1000</f>
        <v>159.3797901558876</v>
      </c>
      <c r="F37" s="3">
        <f>Aurora!D9*1000</f>
        <v>104.42370439916849</v>
      </c>
      <c r="G37" s="3">
        <f>Aurora!E9*1000</f>
        <v>251.2431698834896</v>
      </c>
      <c r="H37" s="3">
        <f>Aurora!F9*1000</f>
        <v>252.71640447139737</v>
      </c>
      <c r="I37" s="3">
        <f>Aurora!G9*1000</f>
        <v>119.30119653701783</v>
      </c>
      <c r="J37" s="3">
        <f>Aurora!H9*1000</f>
        <v>841.1366250801086</v>
      </c>
      <c r="K37" s="3">
        <f>Aurora!I9*1000</f>
        <v>1236.0377819824218</v>
      </c>
      <c r="L37" s="3">
        <f>Aurora!J9*1000</f>
        <v>820.3264417266845</v>
      </c>
      <c r="M37" s="3">
        <f>Aurora!K9*1000</f>
        <v>105.19258482217788</v>
      </c>
      <c r="N37" s="3">
        <f>Aurora!L9*1000</f>
        <v>207.9199738693237</v>
      </c>
      <c r="O37" s="3">
        <f>Aurora!M9*1000</f>
        <v>105.87435682296751</v>
      </c>
      <c r="P37" s="3">
        <f>C37/8760</f>
        <v>0.4995402255352569</v>
      </c>
    </row>
    <row r="38" spans="1:15" ht="12.75">
      <c r="A38" t="s">
        <v>116</v>
      </c>
      <c r="C38" s="77">
        <f>C39/C37</f>
        <v>80.80412263890163</v>
      </c>
      <c r="D38" s="81">
        <f aca="true" t="shared" si="11" ref="D38:O38">IF(D37&gt;0,D39/D37,"")</f>
        <v>91.67339891948686</v>
      </c>
      <c r="E38" s="81">
        <f t="shared" si="11"/>
        <v>92.77730110679457</v>
      </c>
      <c r="F38" s="81">
        <f t="shared" si="11"/>
        <v>91.9362526105328</v>
      </c>
      <c r="G38" s="81">
        <f t="shared" si="11"/>
        <v>77.83579139918251</v>
      </c>
      <c r="H38" s="81">
        <f t="shared" si="11"/>
        <v>77.0315449019287</v>
      </c>
      <c r="I38" s="81">
        <f t="shared" si="11"/>
        <v>76.87611872959116</v>
      </c>
      <c r="J38" s="81">
        <f t="shared" si="11"/>
        <v>79.0924268606794</v>
      </c>
      <c r="K38" s="81">
        <f t="shared" si="11"/>
        <v>79.79892115284092</v>
      </c>
      <c r="L38" s="81">
        <f t="shared" si="11"/>
        <v>79.42481807077942</v>
      </c>
      <c r="M38" s="81">
        <f t="shared" si="11"/>
        <v>77.71041823906585</v>
      </c>
      <c r="N38" s="81">
        <f t="shared" si="11"/>
        <v>83.34014289156167</v>
      </c>
      <c r="O38" s="81">
        <f t="shared" si="11"/>
        <v>88.68911062495054</v>
      </c>
    </row>
    <row r="39" spans="1:15" ht="12.75">
      <c r="A39" t="s">
        <v>67</v>
      </c>
      <c r="C39" s="33">
        <f>SUM(D39:O39)</f>
        <v>353596.6085096076</v>
      </c>
      <c r="D39" s="27">
        <f>Aurora!B27*1000</f>
        <v>15806.359155029058</v>
      </c>
      <c r="E39" s="27">
        <f>Aurora!C27*1000</f>
        <v>14786.826781630516</v>
      </c>
      <c r="F39" s="27">
        <f>Aurora!D27*1000</f>
        <v>9600.32406616956</v>
      </c>
      <c r="G39" s="27">
        <f>Aurora!E27*1000</f>
        <v>19555.710961520672</v>
      </c>
      <c r="H39" s="27">
        <f>Aurora!F27*1000</f>
        <v>19467.135058492422</v>
      </c>
      <c r="I39" s="27">
        <f>Aurora!G27*1000</f>
        <v>9171.412949562073</v>
      </c>
      <c r="J39" s="27">
        <f>Aurora!H27*1000</f>
        <v>66527.5369989872</v>
      </c>
      <c r="K39" s="27">
        <f>Aurora!I27*1000</f>
        <v>98634.48150634766</v>
      </c>
      <c r="L39" s="27">
        <f>Aurora!J27*1000</f>
        <v>65154.278392791755</v>
      </c>
      <c r="M39" s="27">
        <f>Aurora!K27*1000</f>
        <v>8174.559762179852</v>
      </c>
      <c r="N39" s="27">
        <f>Aurora!L27*1000</f>
        <v>17328.080332279205</v>
      </c>
      <c r="O39" s="27">
        <f>Aurora!M27*1000</f>
        <v>9389.902544617653</v>
      </c>
    </row>
    <row r="40" spans="3:15" ht="12.75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6" ht="12.75">
      <c r="A41" t="s">
        <v>43</v>
      </c>
      <c r="C41" s="29">
        <f>SUM(D41:O41)</f>
        <v>12780.788096923827</v>
      </c>
      <c r="D41" s="3">
        <f>Aurora!B11*1000</f>
        <v>0</v>
      </c>
      <c r="E41" s="3">
        <f>Aurora!C11*1000</f>
        <v>49.230366210937504</v>
      </c>
      <c r="F41" s="3">
        <f>Aurora!D11*1000</f>
        <v>0</v>
      </c>
      <c r="G41" s="3">
        <f>Aurora!E11*1000</f>
        <v>41.933759765625005</v>
      </c>
      <c r="H41" s="3">
        <f>Aurora!F11*1000</f>
        <v>87.96057983398437</v>
      </c>
      <c r="I41" s="3">
        <f>Aurora!G11*1000</f>
        <v>102.6741796875</v>
      </c>
      <c r="J41" s="3">
        <f>Aurora!H11*1000</f>
        <v>5608.540014648437</v>
      </c>
      <c r="K41" s="3">
        <f>Aurora!I11*1000</f>
        <v>6103.870196533203</v>
      </c>
      <c r="L41" s="3">
        <f>Aurora!J11*1000</f>
        <v>152.43290039062498</v>
      </c>
      <c r="M41" s="3">
        <f>Aurora!K11*1000</f>
        <v>622.6694921874999</v>
      </c>
      <c r="N41" s="3">
        <f>Aurora!L11*1000</f>
        <v>11.476607666015626</v>
      </c>
      <c r="O41" s="3">
        <f>Aurora!M11*1000</f>
        <v>0</v>
      </c>
      <c r="P41" s="3">
        <f>C41/8760</f>
        <v>1.4589940749913044</v>
      </c>
    </row>
    <row r="42" spans="1:15" ht="12.75">
      <c r="A42" t="s">
        <v>110</v>
      </c>
      <c r="C42" s="77">
        <f>C43/C41</f>
        <v>99.14759182375248</v>
      </c>
      <c r="D42" s="81">
        <f aca="true" t="shared" si="12" ref="D42:O42">IF(D41&gt;0,D43/D41,"")</f>
      </c>
      <c r="E42" s="81">
        <f t="shared" si="12"/>
        <v>114.80979588249954</v>
      </c>
      <c r="F42" s="81">
        <f t="shared" si="12"/>
      </c>
      <c r="G42" s="81">
        <f t="shared" si="12"/>
        <v>97.47990998289013</v>
      </c>
      <c r="H42" s="81">
        <f t="shared" si="12"/>
        <v>94.05789512783208</v>
      </c>
      <c r="I42" s="81">
        <f t="shared" si="12"/>
        <v>92.05580092270795</v>
      </c>
      <c r="J42" s="81">
        <f t="shared" si="12"/>
        <v>98.75718434763176</v>
      </c>
      <c r="K42" s="81">
        <f t="shared" si="12"/>
        <v>100.41597735962725</v>
      </c>
      <c r="L42" s="81">
        <f t="shared" si="12"/>
        <v>99.42759197998814</v>
      </c>
      <c r="M42" s="81">
        <f t="shared" si="12"/>
        <v>90.83655525613352</v>
      </c>
      <c r="N42" s="81">
        <f t="shared" si="12"/>
        <v>103.906452674146</v>
      </c>
      <c r="O42" s="81">
        <f t="shared" si="12"/>
      </c>
    </row>
    <row r="43" spans="1:15" ht="12.75">
      <c r="A43" t="s">
        <v>44</v>
      </c>
      <c r="C43" s="33">
        <f>SUM(D43:O43)</f>
        <v>1267184.3614196777</v>
      </c>
      <c r="D43" s="27">
        <f>Aurora!B29*1000</f>
        <v>0</v>
      </c>
      <c r="E43" s="27">
        <f>Aurora!C29*1000</f>
        <v>5652.1282958984375</v>
      </c>
      <c r="F43" s="27">
        <f>Aurora!D29*1000</f>
        <v>0</v>
      </c>
      <c r="G43" s="27">
        <f>Aurora!E29*1000</f>
        <v>4087.6991271972656</v>
      </c>
      <c r="H43" s="27">
        <f>Aurora!F29*1000</f>
        <v>8273.386993408203</v>
      </c>
      <c r="I43" s="27">
        <f>Aurora!G29*1000</f>
        <v>9451.753845214844</v>
      </c>
      <c r="J43" s="27">
        <f>Aurora!H29*1000</f>
        <v>553883.6201477051</v>
      </c>
      <c r="K43" s="27">
        <f>Aurora!I29*1000</f>
        <v>612926.0914611816</v>
      </c>
      <c r="L43" s="27">
        <f>Aurora!J29*1000</f>
        <v>15156.036224365234</v>
      </c>
      <c r="M43" s="27">
        <f>Aurora!K29*1000</f>
        <v>56561.15173339844</v>
      </c>
      <c r="N43" s="27">
        <f>Aurora!L29*1000</f>
        <v>1192.4935913085938</v>
      </c>
      <c r="O43" s="27">
        <f>Aurora!M29*1000</f>
        <v>0</v>
      </c>
    </row>
    <row r="44" spans="3:15" ht="12.75">
      <c r="C44" s="41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6" ht="12.75">
      <c r="A45" t="s">
        <v>48</v>
      </c>
      <c r="C45" s="29">
        <f>SUM(D45:O45)</f>
        <v>0</v>
      </c>
      <c r="D45" s="3">
        <f>Aurora!B10*1000</f>
        <v>0</v>
      </c>
      <c r="E45" s="3">
        <f>Aurora!C10*1000</f>
        <v>0</v>
      </c>
      <c r="F45" s="3">
        <f>Aurora!D10*1000</f>
        <v>0</v>
      </c>
      <c r="G45" s="3">
        <f>Aurora!E10*1000</f>
        <v>0</v>
      </c>
      <c r="H45" s="3">
        <f>Aurora!F10*1000</f>
        <v>0</v>
      </c>
      <c r="I45" s="3">
        <f>Aurora!G10*1000</f>
        <v>0</v>
      </c>
      <c r="J45" s="3">
        <f>Aurora!H10*1000</f>
        <v>0</v>
      </c>
      <c r="K45" s="3">
        <f>Aurora!I10*1000</f>
        <v>0</v>
      </c>
      <c r="L45" s="3">
        <f>Aurora!J10*1000</f>
        <v>0</v>
      </c>
      <c r="M45" s="3">
        <f>Aurora!K10*1000</f>
        <v>0</v>
      </c>
      <c r="N45" s="3">
        <f>Aurora!L10*1000</f>
        <v>0</v>
      </c>
      <c r="O45" s="3">
        <f>Aurora!M10*1000</f>
        <v>0</v>
      </c>
      <c r="P45" s="3">
        <f>C45/8760</f>
        <v>0</v>
      </c>
    </row>
    <row r="46" spans="1:15" ht="12.75">
      <c r="A46" t="s">
        <v>111</v>
      </c>
      <c r="C46" s="77" t="e">
        <f>C47/C45</f>
        <v>#DIV/0!</v>
      </c>
      <c r="D46" s="81">
        <f aca="true" t="shared" si="13" ref="D46:O46">IF(D45&gt;0,D47/D45,"")</f>
      </c>
      <c r="E46" s="81">
        <f t="shared" si="13"/>
      </c>
      <c r="F46" s="81">
        <f t="shared" si="13"/>
      </c>
      <c r="G46" s="81">
        <f t="shared" si="13"/>
      </c>
      <c r="H46" s="81">
        <f t="shared" si="13"/>
      </c>
      <c r="I46" s="81">
        <f t="shared" si="13"/>
      </c>
      <c r="J46" s="81">
        <f t="shared" si="13"/>
      </c>
      <c r="K46" s="81">
        <f t="shared" si="13"/>
      </c>
      <c r="L46" s="81">
        <f t="shared" si="13"/>
      </c>
      <c r="M46" s="81">
        <f t="shared" si="13"/>
      </c>
      <c r="N46" s="81">
        <f t="shared" si="13"/>
      </c>
      <c r="O46" s="81">
        <f t="shared" si="13"/>
      </c>
    </row>
    <row r="47" spans="1:15" ht="12.75">
      <c r="A47" t="s">
        <v>49</v>
      </c>
      <c r="C47" s="33">
        <f>SUM(D47:O47)</f>
        <v>0</v>
      </c>
      <c r="D47" s="27">
        <f>Aurora!B28*1000</f>
        <v>0</v>
      </c>
      <c r="E47" s="27">
        <f>Aurora!C28*1000</f>
        <v>0</v>
      </c>
      <c r="F47" s="27">
        <f>Aurora!D28*1000</f>
        <v>0</v>
      </c>
      <c r="G47" s="27">
        <f>Aurora!E28*1000</f>
        <v>0</v>
      </c>
      <c r="H47" s="27">
        <f>Aurora!F28*1000</f>
        <v>0</v>
      </c>
      <c r="I47" s="27">
        <f>Aurora!G28*1000</f>
        <v>0</v>
      </c>
      <c r="J47" s="27">
        <f>Aurora!H28*1000</f>
        <v>0</v>
      </c>
      <c r="K47" s="27">
        <f>Aurora!I28*1000</f>
        <v>0</v>
      </c>
      <c r="L47" s="27">
        <f>Aurora!J28*1000</f>
        <v>0</v>
      </c>
      <c r="M47" s="27">
        <f>Aurora!K28*1000</f>
        <v>0</v>
      </c>
      <c r="N47" s="27">
        <f>Aurora!L28*1000</f>
        <v>0</v>
      </c>
      <c r="O47" s="27">
        <f>Aurora!M28*1000</f>
        <v>0</v>
      </c>
    </row>
    <row r="48" spans="3:15" ht="12.75"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t="s">
        <v>45</v>
      </c>
      <c r="C49" s="56">
        <f>SUM(D49:O49)</f>
        <v>109874537.47735447</v>
      </c>
      <c r="D49" s="35">
        <f aca="true" t="shared" si="14" ref="D49:O49">D23+D27+D31+D35+D39+D43+D47</f>
        <v>8865537.612421365</v>
      </c>
      <c r="E49" s="35">
        <f t="shared" si="14"/>
        <v>9423466.475215968</v>
      </c>
      <c r="F49" s="35">
        <f t="shared" si="14"/>
        <v>8739221.51905082</v>
      </c>
      <c r="G49" s="35">
        <f t="shared" si="14"/>
        <v>5975194.615711002</v>
      </c>
      <c r="H49" s="35">
        <f t="shared" si="14"/>
        <v>3581240.301467322</v>
      </c>
      <c r="I49" s="35">
        <f t="shared" si="14"/>
        <v>3914757.2144402754</v>
      </c>
      <c r="J49" s="35">
        <f t="shared" si="14"/>
        <v>10340453.110690981</v>
      </c>
      <c r="K49" s="35">
        <f t="shared" si="14"/>
        <v>13242052.747495245</v>
      </c>
      <c r="L49" s="35">
        <f t="shared" si="14"/>
        <v>11815955.982372211</v>
      </c>
      <c r="M49" s="35">
        <f t="shared" si="14"/>
        <v>10904624.999130625</v>
      </c>
      <c r="N49" s="35">
        <f t="shared" si="14"/>
        <v>12351129.898800837</v>
      </c>
      <c r="O49" s="35">
        <f t="shared" si="14"/>
        <v>10720903.000557803</v>
      </c>
    </row>
    <row r="50" spans="3:9" ht="12.75">
      <c r="C50" s="27"/>
      <c r="D50" s="27"/>
      <c r="E50" s="27"/>
      <c r="F50" s="27"/>
      <c r="G50" s="27"/>
      <c r="H50" s="27"/>
      <c r="I50" s="27"/>
    </row>
    <row r="51" spans="1:3" s="12" customFormat="1" ht="12.75">
      <c r="A51" s="37" t="s">
        <v>100</v>
      </c>
      <c r="B51" s="38"/>
      <c r="C51" s="75">
        <f>C49+C13+C9</f>
        <v>146509273.06098884</v>
      </c>
    </row>
    <row r="52" spans="1:9" s="12" customFormat="1" ht="12.75">
      <c r="A52" s="9"/>
      <c r="C52" s="39"/>
      <c r="D52" s="39"/>
      <c r="E52" s="39"/>
      <c r="F52" s="39"/>
      <c r="G52" s="39"/>
      <c r="H52" s="39"/>
      <c r="I52" s="39"/>
    </row>
  </sheetData>
  <printOptions/>
  <pageMargins left="0.5" right="0.5" top="1" bottom="1" header="0.5" footer="0.5"/>
  <pageSetup fitToHeight="1" fitToWidth="1" horizontalDpi="600" verticalDpi="600" orientation="landscape" scale="59" r:id="rId1"/>
  <headerFooter alignWithMargins="0">
    <oddHeader>&amp;RExhibit No. ____ (WGJ-8)</oddHeader>
    <oddFooter>&amp;L&amp;"Geneva,Bold Italic"&amp;9&amp;F 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3">
      <selection activeCell="B82" sqref="B82"/>
    </sheetView>
  </sheetViews>
  <sheetFormatPr defaultColWidth="9.00390625" defaultRowHeight="12.75"/>
  <cols>
    <col min="1" max="1" width="28.625" style="0" customWidth="1"/>
    <col min="2" max="2" width="13.00390625" style="0" customWidth="1"/>
    <col min="3" max="14" width="11.75390625" style="0" customWidth="1"/>
  </cols>
  <sheetData>
    <row r="1" ht="15.75">
      <c r="A1" s="132" t="s">
        <v>233</v>
      </c>
    </row>
    <row r="2" ht="15.75">
      <c r="A2" s="132" t="s">
        <v>238</v>
      </c>
    </row>
    <row r="3" ht="15.75">
      <c r="A3" s="132" t="s">
        <v>234</v>
      </c>
    </row>
    <row r="4" ht="15.75">
      <c r="A4" s="132"/>
    </row>
    <row r="5" ht="12.75">
      <c r="A5" s="2"/>
    </row>
    <row r="6" ht="12.75">
      <c r="A6" s="2"/>
    </row>
    <row r="7" spans="1:2" ht="12.75">
      <c r="A7" s="133" t="s">
        <v>235</v>
      </c>
      <c r="B7" s="58"/>
    </row>
    <row r="8" ht="12.75">
      <c r="A8" s="134"/>
    </row>
    <row r="9" spans="2:14" ht="12.75">
      <c r="B9" s="121" t="s">
        <v>38</v>
      </c>
      <c r="C9" s="136">
        <v>38359</v>
      </c>
      <c r="D9" s="136">
        <v>38390</v>
      </c>
      <c r="E9" s="136">
        <v>38418</v>
      </c>
      <c r="F9" s="136">
        <v>38449</v>
      </c>
      <c r="G9" s="136">
        <v>38479</v>
      </c>
      <c r="H9" s="136">
        <v>38510</v>
      </c>
      <c r="I9" s="136">
        <v>38540</v>
      </c>
      <c r="J9" s="136">
        <v>38571</v>
      </c>
      <c r="K9" s="136">
        <v>38602</v>
      </c>
      <c r="L9" s="136">
        <v>38632</v>
      </c>
      <c r="M9" s="136">
        <v>38663</v>
      </c>
      <c r="N9" s="136">
        <v>38693</v>
      </c>
    </row>
    <row r="10" spans="2:14" ht="12.75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.75">
      <c r="A11" t="s">
        <v>199</v>
      </c>
      <c r="B11" s="3">
        <f>SUM(C11:N11)</f>
        <v>186954349.98650217</v>
      </c>
      <c r="C11" s="3">
        <f>'WGJ-7'!K40</f>
        <v>32116589.025115803</v>
      </c>
      <c r="D11" s="3">
        <f>'WGJ-7'!L40</f>
        <v>23906164.0135692</v>
      </c>
      <c r="E11" s="3">
        <f>'WGJ-7'!M40</f>
        <v>23693263.245382678</v>
      </c>
      <c r="F11" s="3">
        <f>'WGJ-7'!N40</f>
        <v>9477854.293118674</v>
      </c>
      <c r="G11" s="3">
        <f>'WGJ-7'!O40</f>
        <v>6521025.883066021</v>
      </c>
      <c r="H11" s="3">
        <f>'WGJ-7'!P40</f>
        <v>6651714.048833156</v>
      </c>
      <c r="I11" s="3">
        <f>'WGJ-7'!Q40</f>
        <v>9910239.386975152</v>
      </c>
      <c r="J11" s="3">
        <f>'WGJ-7'!R40</f>
        <v>13549074.263811642</v>
      </c>
      <c r="K11" s="3">
        <f>'WGJ-7'!S40</f>
        <v>13878031.303114297</v>
      </c>
      <c r="L11" s="3">
        <f>'WGJ-7'!T40</f>
        <v>14669200.139803132</v>
      </c>
      <c r="M11" s="3">
        <f>'WGJ-7'!U40</f>
        <v>15518844.741756763</v>
      </c>
      <c r="N11" s="3">
        <f>'WGJ-7'!V40</f>
        <v>17062349.64195563</v>
      </c>
    </row>
    <row r="13" spans="1:14" ht="12.75">
      <c r="A13" t="s">
        <v>197</v>
      </c>
      <c r="B13" s="3">
        <f>SUM(C13:N13)</f>
        <v>31531875.36964417</v>
      </c>
      <c r="C13" s="105">
        <f>'WGJ-7'!K54</f>
        <v>2919308.139139811</v>
      </c>
      <c r="D13" s="105">
        <f>'WGJ-7'!L54</f>
        <v>2730964.172770182</v>
      </c>
      <c r="E13" s="105">
        <f>'WGJ-7'!M54</f>
        <v>2936228.3397165933</v>
      </c>
      <c r="F13" s="105">
        <f>'WGJ-7'!N54</f>
        <v>2586533.577067057</v>
      </c>
      <c r="G13" s="105">
        <f>'WGJ-7'!O54</f>
        <v>1259567.7256266277</v>
      </c>
      <c r="H13" s="105">
        <f>'WGJ-7'!P54</f>
        <v>1334051.5580240886</v>
      </c>
      <c r="I13" s="105">
        <f>'WGJ-7'!Q54</f>
        <v>2891558.3603922524</v>
      </c>
      <c r="J13" s="105">
        <f>'WGJ-7'!R54</f>
        <v>3024298.633219401</v>
      </c>
      <c r="K13" s="105">
        <f>'WGJ-7'!S54</f>
        <v>2908865.139567057</v>
      </c>
      <c r="L13" s="105">
        <f>'WGJ-7'!T54</f>
        <v>3015601.0917154946</v>
      </c>
      <c r="M13" s="105">
        <f>'WGJ-7'!U54</f>
        <v>2936269.659830729</v>
      </c>
      <c r="N13" s="105">
        <f>'WGJ-7'!V54</f>
        <v>2988628.9725748696</v>
      </c>
    </row>
    <row r="15" spans="1:14" ht="12.75">
      <c r="A15" t="s">
        <v>196</v>
      </c>
      <c r="B15" s="3">
        <f>SUM(C15:N15)</f>
        <v>84482552.10771029</v>
      </c>
      <c r="C15" s="3">
        <f>'WGJ-7'!K64</f>
        <v>5155414.473281554</v>
      </c>
      <c r="D15" s="3">
        <f>'WGJ-7'!L64</f>
        <v>6043032.302445784</v>
      </c>
      <c r="E15" s="3">
        <f>'WGJ-7'!M64</f>
        <v>5012178.179334226</v>
      </c>
      <c r="F15" s="3">
        <f>'WGJ-7'!N64</f>
        <v>4058411.038643944</v>
      </c>
      <c r="G15" s="3">
        <f>'WGJ-7'!O64</f>
        <v>2991422.5758406944</v>
      </c>
      <c r="H15" s="3">
        <f>'WGJ-7'!P64</f>
        <v>3250455.656416187</v>
      </c>
      <c r="I15" s="3">
        <f>'WGJ-7'!Q64</f>
        <v>8908214.750298727</v>
      </c>
      <c r="J15" s="3">
        <f>'WGJ-7'!R64</f>
        <v>11677074.114275845</v>
      </c>
      <c r="K15" s="3">
        <f>'WGJ-7'!S64</f>
        <v>10340940.842805155</v>
      </c>
      <c r="L15" s="3">
        <f>'WGJ-7'!T64</f>
        <v>8558773.907415131</v>
      </c>
      <c r="M15" s="3">
        <f>'WGJ-7'!U64</f>
        <v>10084610.238970108</v>
      </c>
      <c r="N15" s="3">
        <f>'WGJ-7'!V64</f>
        <v>8402024.027982933</v>
      </c>
    </row>
    <row r="17" spans="1:14" ht="12.75">
      <c r="A17" s="17" t="s">
        <v>195</v>
      </c>
      <c r="B17" s="91">
        <f>SUM(C17:N17)</f>
        <v>114793940.93568867</v>
      </c>
      <c r="C17" s="91">
        <f>'WGJ-7'!K103</f>
        <v>14962039.568641333</v>
      </c>
      <c r="D17" s="91">
        <f>'WGJ-7'!L103</f>
        <v>14063309.223096518</v>
      </c>
      <c r="E17" s="91">
        <f>'WGJ-7'!M103</f>
        <v>15753747.972373175</v>
      </c>
      <c r="F17" s="91">
        <f>'WGJ-7'!N103</f>
        <v>9393951.550635274</v>
      </c>
      <c r="G17" s="91">
        <f>'WGJ-7'!O103</f>
        <v>12901235.546506094</v>
      </c>
      <c r="H17" s="91">
        <f>'WGJ-7'!P103</f>
        <v>11226078.258891996</v>
      </c>
      <c r="I17" s="91">
        <f>'WGJ-7'!Q103</f>
        <v>11220228.294324163</v>
      </c>
      <c r="J17" s="91">
        <f>'WGJ-7'!R103</f>
        <v>6898210.170879567</v>
      </c>
      <c r="K17" s="91">
        <f>'WGJ-7'!S103</f>
        <v>6350122.1369771315</v>
      </c>
      <c r="L17" s="91">
        <f>'WGJ-7'!T103</f>
        <v>3328203.533278402</v>
      </c>
      <c r="M17" s="91">
        <f>'WGJ-7'!U103</f>
        <v>4934689.105196126</v>
      </c>
      <c r="N17" s="91">
        <f>'WGJ-7'!V103</f>
        <v>3762125.5748888906</v>
      </c>
    </row>
    <row r="18" ht="12.75" customHeight="1"/>
    <row r="19" spans="1:14" ht="12.75">
      <c r="A19" s="2" t="s">
        <v>178</v>
      </c>
      <c r="B19" s="3">
        <f>SUM(C19:N19)</f>
        <v>188174836.5281679</v>
      </c>
      <c r="C19" s="3">
        <f>SUM(C11:C15)-C17</f>
        <v>25229272.06889583</v>
      </c>
      <c r="D19" s="3">
        <f aca="true" t="shared" si="0" ref="D19:N19">SUM(D11:D15)-D17</f>
        <v>18616851.26568865</v>
      </c>
      <c r="E19" s="3">
        <f t="shared" si="0"/>
        <v>15887921.792060325</v>
      </c>
      <c r="F19" s="3">
        <f t="shared" si="0"/>
        <v>6728847.3581944</v>
      </c>
      <c r="G19" s="3">
        <f t="shared" si="0"/>
        <v>-2129219.361972751</v>
      </c>
      <c r="H19" s="3">
        <f t="shared" si="0"/>
        <v>10143.004381436855</v>
      </c>
      <c r="I19" s="3">
        <f t="shared" si="0"/>
        <v>10489784.203341968</v>
      </c>
      <c r="J19" s="3">
        <f t="shared" si="0"/>
        <v>21352236.840427324</v>
      </c>
      <c r="K19" s="3">
        <f t="shared" si="0"/>
        <v>20777715.148509376</v>
      </c>
      <c r="L19" s="3">
        <f t="shared" si="0"/>
        <v>22915371.605655354</v>
      </c>
      <c r="M19" s="3">
        <f t="shared" si="0"/>
        <v>23605035.535361476</v>
      </c>
      <c r="N19" s="3">
        <f t="shared" si="0"/>
        <v>24690877.06762454</v>
      </c>
    </row>
    <row r="20" ht="12.75" customHeight="1"/>
    <row r="21" spans="1:14" ht="12.75">
      <c r="A21" s="2" t="s">
        <v>179</v>
      </c>
      <c r="B21" s="3">
        <f>SUM(C21:N21)</f>
        <v>14331972.999999994</v>
      </c>
      <c r="C21" s="3">
        <f>'WGJ-7'!K80</f>
        <v>1193416.6666666665</v>
      </c>
      <c r="D21" s="3">
        <f>'WGJ-7'!L80</f>
        <v>1193416.6666666665</v>
      </c>
      <c r="E21" s="3">
        <f>'WGJ-7'!M80</f>
        <v>1193416.6666666665</v>
      </c>
      <c r="F21" s="3">
        <f>'WGJ-7'!N80</f>
        <v>1193416.6666666665</v>
      </c>
      <c r="G21" s="3">
        <f>'WGJ-7'!O80</f>
        <v>1193416.6666666665</v>
      </c>
      <c r="H21" s="3">
        <f>'WGJ-7'!P80</f>
        <v>1193416.6666666665</v>
      </c>
      <c r="I21" s="3">
        <f>'WGJ-7'!Q80</f>
        <v>1193416.6666666665</v>
      </c>
      <c r="J21" s="3">
        <f>'WGJ-7'!R80</f>
        <v>1193416.6666666665</v>
      </c>
      <c r="K21" s="3">
        <f>'WGJ-7'!S80</f>
        <v>1204389.6666666665</v>
      </c>
      <c r="L21" s="3">
        <f>'WGJ-7'!T80</f>
        <v>1193416.6666666665</v>
      </c>
      <c r="M21" s="3">
        <f>'WGJ-7'!U80</f>
        <v>1193416.6666666665</v>
      </c>
      <c r="N21" s="3">
        <f>'WGJ-7'!V80</f>
        <v>1193416.6666666665</v>
      </c>
    </row>
    <row r="22" ht="12.75" customHeight="1"/>
    <row r="23" spans="1:14" s="2" customFormat="1" ht="12.75">
      <c r="A23" s="2" t="s">
        <v>198</v>
      </c>
      <c r="B23" s="3">
        <f>SUM(C23:N23)</f>
        <v>-9252389.012500001</v>
      </c>
      <c r="C23" s="119">
        <v>-672565.77</v>
      </c>
      <c r="D23" s="119">
        <v>-656245.87</v>
      </c>
      <c r="E23" s="119">
        <v>-730201.99</v>
      </c>
      <c r="F23" s="119">
        <v>-696691.79</v>
      </c>
      <c r="G23" s="119">
        <v>-790644.59</v>
      </c>
      <c r="H23" s="119">
        <v>-1121595.2025000001</v>
      </c>
      <c r="I23" s="119">
        <v>-1014917.79</v>
      </c>
      <c r="J23" s="119">
        <v>-861785.54</v>
      </c>
      <c r="K23" s="119">
        <v>-653240.84</v>
      </c>
      <c r="L23" s="119">
        <v>-718735.54</v>
      </c>
      <c r="M23" s="119">
        <v>-703074.02</v>
      </c>
      <c r="N23" s="119">
        <v>-632690.07</v>
      </c>
    </row>
    <row r="24" ht="12.75" customHeight="1">
      <c r="B24" s="3"/>
    </row>
    <row r="25" spans="1:14" ht="12.75">
      <c r="A25" s="120" t="s">
        <v>193</v>
      </c>
      <c r="B25" s="91">
        <f>SUM(C25:N25)</f>
        <v>52000.00000000001</v>
      </c>
      <c r="C25" s="91">
        <f>'WGJ-7'!$F43/12*1000</f>
        <v>4333.333333333333</v>
      </c>
      <c r="D25" s="91">
        <f>'WGJ-7'!$F43/12*1000</f>
        <v>4333.333333333333</v>
      </c>
      <c r="E25" s="91">
        <f>'WGJ-7'!$F43/12*1000</f>
        <v>4333.333333333333</v>
      </c>
      <c r="F25" s="91">
        <f>'WGJ-7'!$F43/12*1000</f>
        <v>4333.333333333333</v>
      </c>
      <c r="G25" s="91">
        <f>'WGJ-7'!$F43/12*1000</f>
        <v>4333.333333333333</v>
      </c>
      <c r="H25" s="91">
        <f>'WGJ-7'!$F43/12*1000</f>
        <v>4333.333333333333</v>
      </c>
      <c r="I25" s="91">
        <f>'WGJ-7'!$F43/12*1000</f>
        <v>4333.333333333333</v>
      </c>
      <c r="J25" s="91">
        <f>'WGJ-7'!$F43/12*1000</f>
        <v>4333.333333333333</v>
      </c>
      <c r="K25" s="91">
        <f>'WGJ-7'!$F43/12*1000</f>
        <v>4333.333333333333</v>
      </c>
      <c r="L25" s="91">
        <f>'WGJ-7'!$F43/12*1000</f>
        <v>4333.333333333333</v>
      </c>
      <c r="M25" s="91">
        <f>'WGJ-7'!$F43/12*1000</f>
        <v>4333.333333333333</v>
      </c>
      <c r="N25" s="91">
        <f>'WGJ-7'!$F43/12*1000</f>
        <v>4333.333333333333</v>
      </c>
    </row>
    <row r="26" ht="12.75" customHeight="1"/>
    <row r="27" spans="1:14" ht="12.75">
      <c r="A27" s="2" t="s">
        <v>194</v>
      </c>
      <c r="B27" s="3">
        <f>SUM(C27:N27)</f>
        <v>193306420.51566795</v>
      </c>
      <c r="C27" s="3">
        <f>SUM(C19:C25)</f>
        <v>25754456.298895832</v>
      </c>
      <c r="D27" s="3">
        <f aca="true" t="shared" si="1" ref="D27:N27">SUM(D19:D25)</f>
        <v>19158355.39568865</v>
      </c>
      <c r="E27" s="3">
        <f t="shared" si="1"/>
        <v>16355469.802060325</v>
      </c>
      <c r="F27" s="3">
        <f t="shared" si="1"/>
        <v>7229905.568194399</v>
      </c>
      <c r="G27" s="3">
        <f t="shared" si="1"/>
        <v>-1722113.9519727512</v>
      </c>
      <c r="H27" s="3">
        <f t="shared" si="1"/>
        <v>86297.80188143656</v>
      </c>
      <c r="I27" s="3">
        <f t="shared" si="1"/>
        <v>10672616.413341967</v>
      </c>
      <c r="J27" s="3">
        <f t="shared" si="1"/>
        <v>21688201.300427325</v>
      </c>
      <c r="K27" s="3">
        <f t="shared" si="1"/>
        <v>21333197.308509376</v>
      </c>
      <c r="L27" s="3">
        <f t="shared" si="1"/>
        <v>23394386.065655354</v>
      </c>
      <c r="M27" s="3">
        <f t="shared" si="1"/>
        <v>24099711.515361477</v>
      </c>
      <c r="N27" s="3">
        <f t="shared" si="1"/>
        <v>25255936.99762454</v>
      </c>
    </row>
    <row r="31" spans="1:2" ht="12.75">
      <c r="A31" s="133" t="s">
        <v>236</v>
      </c>
      <c r="B31" s="58"/>
    </row>
    <row r="34" spans="2:14" ht="12.75">
      <c r="B34" s="121" t="s">
        <v>38</v>
      </c>
      <c r="C34" s="136">
        <v>38359</v>
      </c>
      <c r="D34" s="136">
        <v>38390</v>
      </c>
      <c r="E34" s="136">
        <v>38418</v>
      </c>
      <c r="F34" s="136">
        <v>38449</v>
      </c>
      <c r="G34" s="136">
        <v>38479</v>
      </c>
      <c r="H34" s="136">
        <v>38510</v>
      </c>
      <c r="I34" s="136">
        <v>38540</v>
      </c>
      <c r="J34" s="136">
        <v>38571</v>
      </c>
      <c r="K34" s="136">
        <v>38602</v>
      </c>
      <c r="L34" s="136">
        <v>38632</v>
      </c>
      <c r="M34" s="136">
        <v>38663</v>
      </c>
      <c r="N34" s="136">
        <v>38693</v>
      </c>
    </row>
    <row r="36" spans="1:14" ht="12.75">
      <c r="A36" s="2" t="s">
        <v>237</v>
      </c>
      <c r="B36" s="3">
        <f>SUM(C36:N36)</f>
        <v>5580783.051901942</v>
      </c>
      <c r="C36" s="3">
        <v>557362.855760304</v>
      </c>
      <c r="D36" s="3">
        <v>482599.8419547331</v>
      </c>
      <c r="E36" s="3">
        <v>468215.16460695094</v>
      </c>
      <c r="F36" s="3">
        <v>413064.7699061623</v>
      </c>
      <c r="G36" s="3">
        <v>417489.17717163265</v>
      </c>
      <c r="H36" s="3">
        <v>417457.9299577156</v>
      </c>
      <c r="I36" s="3">
        <v>475798.8085349162</v>
      </c>
      <c r="J36" s="3">
        <v>458543.8399339249</v>
      </c>
      <c r="K36" s="3">
        <v>425385.48460804624</v>
      </c>
      <c r="L36" s="3">
        <v>456639.5535330838</v>
      </c>
      <c r="M36" s="3">
        <v>475819.7104884441</v>
      </c>
      <c r="N36" s="3">
        <v>532405.9154460282</v>
      </c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&amp;RExhibit No.   (WGJ-9)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">
      <pane xSplit="4470" ySplit="825" topLeftCell="A12" activePane="bottomRight" state="split"/>
      <selection pane="topLeft" activeCell="B2" sqref="B2"/>
      <selection pane="topRight" activeCell="K1" sqref="K1"/>
      <selection pane="bottomLeft" activeCell="A26" sqref="A26:IV26"/>
      <selection pane="bottomRight" activeCell="B5" sqref="B5:M11"/>
    </sheetView>
  </sheetViews>
  <sheetFormatPr defaultColWidth="9.00390625" defaultRowHeight="12.75"/>
  <cols>
    <col min="1" max="1" width="20.125" style="64" customWidth="1"/>
    <col min="2" max="13" width="9.125" style="64" customWidth="1"/>
    <col min="14" max="14" width="10.25390625" style="66" customWidth="1"/>
    <col min="15" max="15" width="9.25390625" style="64" customWidth="1"/>
    <col min="16" max="16384" width="9.125" style="64" customWidth="1"/>
  </cols>
  <sheetData>
    <row r="1" spans="1:15" ht="16.5" thickBot="1">
      <c r="A1" s="61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2"/>
    </row>
    <row r="2" spans="1:13" ht="12.75">
      <c r="A2" s="65"/>
      <c r="B2" s="74" t="s">
        <v>87</v>
      </c>
      <c r="C2" s="74" t="s">
        <v>88</v>
      </c>
      <c r="D2" s="74" t="s">
        <v>89</v>
      </c>
      <c r="E2" s="74" t="s">
        <v>90</v>
      </c>
      <c r="F2" s="74" t="s">
        <v>91</v>
      </c>
      <c r="G2" s="74" t="s">
        <v>92</v>
      </c>
      <c r="H2" s="74" t="s">
        <v>93</v>
      </c>
      <c r="I2" s="74" t="s">
        <v>94</v>
      </c>
      <c r="J2" s="74" t="s">
        <v>95</v>
      </c>
      <c r="K2" s="74" t="s">
        <v>96</v>
      </c>
      <c r="L2" s="74" t="s">
        <v>97</v>
      </c>
      <c r="M2" s="74" t="s">
        <v>98</v>
      </c>
    </row>
    <row r="3" spans="2:14" ht="12.75"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  <c r="I3" s="67">
        <v>8</v>
      </c>
      <c r="J3" s="67">
        <v>9</v>
      </c>
      <c r="K3" s="67">
        <v>10</v>
      </c>
      <c r="L3" s="67">
        <v>11</v>
      </c>
      <c r="M3" s="67">
        <v>12</v>
      </c>
      <c r="N3" s="68" t="s">
        <v>75</v>
      </c>
    </row>
    <row r="4" spans="1:14" ht="12.75">
      <c r="A4" s="78" t="s">
        <v>76</v>
      </c>
      <c r="N4" s="79" t="s">
        <v>102</v>
      </c>
    </row>
    <row r="5" spans="1:15" ht="12.75">
      <c r="A5" s="69" t="s">
        <v>77</v>
      </c>
      <c r="B5" s="70">
        <v>0.22259048612117768</v>
      </c>
      <c r="C5" s="70">
        <v>0.25077199226379393</v>
      </c>
      <c r="D5" s="70">
        <v>0.07118519320011138</v>
      </c>
      <c r="E5" s="70">
        <v>0.4742864483833313</v>
      </c>
      <c r="F5" s="70">
        <v>0.44321335361480707</v>
      </c>
      <c r="G5" s="70">
        <v>0.14000027939319612</v>
      </c>
      <c r="H5" s="70">
        <v>1.3072667701911926</v>
      </c>
      <c r="I5" s="70">
        <v>1.8809600628662109</v>
      </c>
      <c r="J5" s="70">
        <v>1.115916506958008</v>
      </c>
      <c r="K5" s="70">
        <v>0.08410068340301514</v>
      </c>
      <c r="L5" s="70">
        <v>0.06334239289090038</v>
      </c>
      <c r="M5" s="70">
        <v>0.02952479467272759</v>
      </c>
      <c r="N5" s="66">
        <f>SUM(B5:M5)</f>
        <v>6.083158963958473</v>
      </c>
      <c r="O5" s="64">
        <f>N5/8760*1000</f>
        <v>0.694424539264666</v>
      </c>
    </row>
    <row r="6" spans="1:15" ht="12.75">
      <c r="A6" s="69" t="s">
        <v>27</v>
      </c>
      <c r="B6" s="70">
        <v>155.63742351562502</v>
      </c>
      <c r="C6" s="70">
        <v>142.86834375</v>
      </c>
      <c r="D6" s="70">
        <v>152.2898559375</v>
      </c>
      <c r="E6" s="70">
        <v>126.01363835937501</v>
      </c>
      <c r="F6" s="70">
        <v>106.15274445312501</v>
      </c>
      <c r="G6" s="70">
        <v>116.02827859375</v>
      </c>
      <c r="H6" s="70">
        <v>154.81005421875</v>
      </c>
      <c r="I6" s="70">
        <v>158.12540015624998</v>
      </c>
      <c r="J6" s="70">
        <v>152.93354546875</v>
      </c>
      <c r="K6" s="70">
        <v>156.89350031249998</v>
      </c>
      <c r="L6" s="70">
        <v>153.07321875</v>
      </c>
      <c r="M6" s="70">
        <v>155.61742109374998</v>
      </c>
      <c r="N6" s="66">
        <f aca="true" t="shared" si="0" ref="N6:N11">SUM(B6:M6)</f>
        <v>1730.4434246093751</v>
      </c>
      <c r="O6" s="64">
        <f aca="true" t="shared" si="1" ref="O6:O13">N6/8760*1000</f>
        <v>197.53920372253143</v>
      </c>
    </row>
    <row r="7" spans="1:16" ht="12.75">
      <c r="A7" s="69" t="s">
        <v>78</v>
      </c>
      <c r="B7" s="70">
        <v>85.42746375</v>
      </c>
      <c r="C7" s="70">
        <v>96.9475559375</v>
      </c>
      <c r="D7" s="70">
        <v>86.36023208007812</v>
      </c>
      <c r="E7" s="70">
        <v>57.72375197265625</v>
      </c>
      <c r="F7" s="70">
        <v>39.684607792968755</v>
      </c>
      <c r="G7" s="70">
        <v>44.07286561523438</v>
      </c>
      <c r="H7" s="70">
        <v>114.03849045898437</v>
      </c>
      <c r="I7" s="70">
        <v>159.600745625</v>
      </c>
      <c r="J7" s="70">
        <v>149.36600921875</v>
      </c>
      <c r="K7" s="70">
        <v>132.189693515625</v>
      </c>
      <c r="L7" s="70">
        <v>154.56081031250002</v>
      </c>
      <c r="M7" s="70">
        <v>121.18518418945314</v>
      </c>
      <c r="N7" s="66">
        <f t="shared" si="0"/>
        <v>1241.15741046875</v>
      </c>
      <c r="O7" s="64">
        <f t="shared" si="1"/>
        <v>141.68463589825913</v>
      </c>
      <c r="P7" s="64">
        <f>SUM(B7:M7)</f>
        <v>1241.15741046875</v>
      </c>
    </row>
    <row r="8" spans="1:15" ht="12.75">
      <c r="A8" s="69" t="s">
        <v>25</v>
      </c>
      <c r="B8" s="70">
        <v>32.33093743164063</v>
      </c>
      <c r="C8" s="70">
        <v>31.259706718749996</v>
      </c>
      <c r="D8" s="70">
        <v>34.07668373535156</v>
      </c>
      <c r="E8" s="70">
        <v>32.3758354296875</v>
      </c>
      <c r="F8" s="70">
        <v>1.1158701342773436</v>
      </c>
      <c r="G8" s="70">
        <v>0</v>
      </c>
      <c r="H8" s="70">
        <v>31.751149560546878</v>
      </c>
      <c r="I8" s="70">
        <v>34.74996148437499</v>
      </c>
      <c r="J8" s="70">
        <v>33.0628735546875</v>
      </c>
      <c r="K8" s="70">
        <v>34.90827421875</v>
      </c>
      <c r="L8" s="70">
        <v>33.8860828125</v>
      </c>
      <c r="M8" s="70">
        <v>34.49585333984375</v>
      </c>
      <c r="N8" s="66">
        <f t="shared" si="0"/>
        <v>334.01322842041014</v>
      </c>
      <c r="O8" s="64">
        <f t="shared" si="1"/>
        <v>38.12936397493266</v>
      </c>
    </row>
    <row r="9" spans="1:15" ht="12.75">
      <c r="A9" s="69" t="s">
        <v>79</v>
      </c>
      <c r="B9" s="70">
        <v>0.1724203459382057</v>
      </c>
      <c r="C9" s="70">
        <v>0.1593797901558876</v>
      </c>
      <c r="D9" s="70">
        <v>0.10442370439916848</v>
      </c>
      <c r="E9" s="70">
        <v>0.2512431698834896</v>
      </c>
      <c r="F9" s="70">
        <v>0.25271640447139737</v>
      </c>
      <c r="G9" s="70">
        <v>0.11930119653701783</v>
      </c>
      <c r="H9" s="70">
        <v>0.8411366250801087</v>
      </c>
      <c r="I9" s="70">
        <v>1.2360377819824218</v>
      </c>
      <c r="J9" s="70">
        <v>0.8203264417266845</v>
      </c>
      <c r="K9" s="70">
        <v>0.10519258482217787</v>
      </c>
      <c r="L9" s="70">
        <v>0.2079199738693237</v>
      </c>
      <c r="M9" s="70">
        <v>0.10587435682296752</v>
      </c>
      <c r="N9" s="66">
        <f t="shared" si="0"/>
        <v>4.375972375688851</v>
      </c>
      <c r="O9" s="64">
        <f t="shared" si="1"/>
        <v>0.49954022553525695</v>
      </c>
    </row>
    <row r="10" spans="1:15" ht="12.75">
      <c r="A10" s="69" t="s">
        <v>80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66">
        <f t="shared" si="0"/>
        <v>0</v>
      </c>
      <c r="O10" s="64">
        <f t="shared" si="1"/>
        <v>0</v>
      </c>
    </row>
    <row r="11" spans="1:15" ht="12.75">
      <c r="A11" s="69" t="s">
        <v>81</v>
      </c>
      <c r="B11" s="70">
        <v>0</v>
      </c>
      <c r="C11" s="70">
        <v>0.0492303662109375</v>
      </c>
      <c r="D11" s="70">
        <v>0</v>
      </c>
      <c r="E11" s="70">
        <v>0.04193375976562501</v>
      </c>
      <c r="F11" s="70">
        <v>0.08796057983398436</v>
      </c>
      <c r="G11" s="70">
        <v>0.1026741796875</v>
      </c>
      <c r="H11" s="70">
        <v>5.608540014648437</v>
      </c>
      <c r="I11" s="70">
        <v>6.103870196533203</v>
      </c>
      <c r="J11" s="70">
        <v>0.152432900390625</v>
      </c>
      <c r="K11" s="70">
        <v>0.6226694921874999</v>
      </c>
      <c r="L11" s="70">
        <v>0.011476607666015626</v>
      </c>
      <c r="M11" s="70">
        <v>0</v>
      </c>
      <c r="N11" s="66">
        <f t="shared" si="0"/>
        <v>12.780788096923827</v>
      </c>
      <c r="O11" s="64">
        <f t="shared" si="1"/>
        <v>1.4589940749913044</v>
      </c>
    </row>
    <row r="12" spans="1:15" ht="12.75">
      <c r="A12" s="69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>
        <f>SUM(N5:N11)</f>
        <v>3328.8539829351066</v>
      </c>
      <c r="O12" s="64">
        <f t="shared" si="1"/>
        <v>380.00616243551445</v>
      </c>
    </row>
    <row r="13" spans="1:15" ht="12.75">
      <c r="A13" s="65" t="s">
        <v>103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  <c r="O13" s="64">
        <f t="shared" si="1"/>
        <v>0</v>
      </c>
    </row>
    <row r="14" spans="1:14" ht="12.75">
      <c r="A14" s="69" t="s">
        <v>77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ht="12.75">
      <c r="A15" s="69" t="s">
        <v>27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ht="12.75">
      <c r="A16" s="69" t="s">
        <v>78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1:14" ht="12.75">
      <c r="A17" s="69" t="s">
        <v>25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ht="12.75">
      <c r="A18" s="69" t="s">
        <v>79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1:14" ht="12.75">
      <c r="A19" s="69" t="s">
        <v>80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ht="12.75">
      <c r="A20" s="69" t="s">
        <v>81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</row>
    <row r="21" spans="1:14" ht="12.75">
      <c r="A21" s="69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>
        <f>SUM(N14:N20)</f>
        <v>0</v>
      </c>
    </row>
    <row r="22" spans="1:14" ht="12.75">
      <c r="A22" s="78" t="s">
        <v>82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4" ht="12.75">
      <c r="A23" s="69" t="s">
        <v>77</v>
      </c>
      <c r="B23" s="70">
        <v>20.862727707326414</v>
      </c>
      <c r="C23" s="70">
        <v>23.81666507720947</v>
      </c>
      <c r="D23" s="70">
        <v>6.723433725237847</v>
      </c>
      <c r="E23" s="70">
        <v>37.81330626428127</v>
      </c>
      <c r="F23" s="70">
        <v>34.942509377002715</v>
      </c>
      <c r="G23" s="70">
        <v>10.95389602482319</v>
      </c>
      <c r="H23" s="70">
        <v>106.00561158299446</v>
      </c>
      <c r="I23" s="70">
        <v>154.22765066146852</v>
      </c>
      <c r="J23" s="70">
        <v>90.92399454116821</v>
      </c>
      <c r="K23" s="70">
        <v>6.668233835697174</v>
      </c>
      <c r="L23" s="70">
        <v>5.411887163762003</v>
      </c>
      <c r="M23" s="70">
        <v>2.768721001073718</v>
      </c>
      <c r="N23" s="71">
        <f>SUM(B23:M23)</f>
        <v>501.11863696204506</v>
      </c>
    </row>
    <row r="24" spans="1:14" ht="12.75">
      <c r="A24" s="69" t="s">
        <v>27</v>
      </c>
      <c r="B24" s="70">
        <v>1743.6596215820311</v>
      </c>
      <c r="C24" s="70">
        <v>1600.132568359375</v>
      </c>
      <c r="D24" s="70">
        <v>1706.209237060547</v>
      </c>
      <c r="E24" s="70">
        <v>1411.3759716796876</v>
      </c>
      <c r="F24" s="70">
        <v>1193.2535675048828</v>
      </c>
      <c r="G24" s="70">
        <v>1308.3848913574218</v>
      </c>
      <c r="H24" s="70">
        <v>1735.4164123535156</v>
      </c>
      <c r="I24" s="70">
        <v>1771.049383544922</v>
      </c>
      <c r="J24" s="70">
        <v>1712.9606604003907</v>
      </c>
      <c r="K24" s="70">
        <v>1757.2157775878907</v>
      </c>
      <c r="L24" s="70">
        <v>1714.427734375</v>
      </c>
      <c r="M24" s="70">
        <v>1742.9331982421875</v>
      </c>
      <c r="N24" s="71">
        <f aca="true" t="shared" si="2" ref="N24:N29">SUM(B24:M24)</f>
        <v>19397.01902404785</v>
      </c>
    </row>
    <row r="25" spans="1:15" ht="12.75">
      <c r="A25" s="69" t="s">
        <v>78</v>
      </c>
      <c r="B25" s="70">
        <v>5935.227053085866</v>
      </c>
      <c r="C25" s="70">
        <v>6673.9133489577125</v>
      </c>
      <c r="D25" s="70">
        <v>5812.336088209486</v>
      </c>
      <c r="E25" s="70">
        <v>3352.870988957611</v>
      </c>
      <c r="F25" s="70">
        <v>2284.6562110784575</v>
      </c>
      <c r="G25" s="70">
        <v>2576.7952602632536</v>
      </c>
      <c r="H25" s="70">
        <v>6748.144648235709</v>
      </c>
      <c r="I25" s="70">
        <v>9377.632557313513</v>
      </c>
      <c r="J25" s="70">
        <v>8761.523200313495</v>
      </c>
      <c r="K25" s="70">
        <v>7843.286628750521</v>
      </c>
      <c r="L25" s="70">
        <v>9416.594444549424</v>
      </c>
      <c r="M25" s="70">
        <v>7745.7820711039085</v>
      </c>
      <c r="N25" s="71">
        <f t="shared" si="2"/>
        <v>76528.76250081896</v>
      </c>
      <c r="O25" s="64">
        <f>N25/8760*1000</f>
        <v>8736.160102833215</v>
      </c>
    </row>
    <row r="26" spans="1:15" ht="12.75">
      <c r="A26" s="69" t="s">
        <v>25</v>
      </c>
      <c r="B26" s="70">
        <v>1149.9818508911133</v>
      </c>
      <c r="C26" s="70">
        <v>1105.1649377441406</v>
      </c>
      <c r="D26" s="70">
        <v>1204.35243598938</v>
      </c>
      <c r="E26" s="70">
        <v>1149.490938720703</v>
      </c>
      <c r="F26" s="70">
        <v>40.647491455078125</v>
      </c>
      <c r="G26" s="70">
        <v>0</v>
      </c>
      <c r="H26" s="70">
        <v>1130.4752813720704</v>
      </c>
      <c r="I26" s="70">
        <v>1227.5825830078124</v>
      </c>
      <c r="J26" s="70">
        <v>1170.2378125</v>
      </c>
      <c r="K26" s="70">
        <v>1232.7186474609375</v>
      </c>
      <c r="L26" s="70">
        <v>1196.1752587890626</v>
      </c>
      <c r="M26" s="70">
        <v>1220.0291076660155</v>
      </c>
      <c r="N26" s="71">
        <f t="shared" si="2"/>
        <v>11826.856345596314</v>
      </c>
      <c r="O26" s="64">
        <f>N26/8760*1000</f>
        <v>1350.0977563466113</v>
      </c>
    </row>
    <row r="27" spans="1:15" ht="12.75">
      <c r="A27" s="69" t="s">
        <v>79</v>
      </c>
      <c r="B27" s="70">
        <v>15.806359155029059</v>
      </c>
      <c r="C27" s="70">
        <v>14.786826781630516</v>
      </c>
      <c r="D27" s="70">
        <v>9.60032406616956</v>
      </c>
      <c r="E27" s="70">
        <v>19.55571096152067</v>
      </c>
      <c r="F27" s="70">
        <v>19.46713505849242</v>
      </c>
      <c r="G27" s="70">
        <v>9.171412949562074</v>
      </c>
      <c r="H27" s="70">
        <v>66.5275369989872</v>
      </c>
      <c r="I27" s="70">
        <v>98.63448150634765</v>
      </c>
      <c r="J27" s="70">
        <v>65.15427839279175</v>
      </c>
      <c r="K27" s="70">
        <v>8.174559762179852</v>
      </c>
      <c r="L27" s="70">
        <v>17.328080332279207</v>
      </c>
      <c r="M27" s="70">
        <v>9.389902544617653</v>
      </c>
      <c r="N27" s="71">
        <f t="shared" si="2"/>
        <v>353.5966085096076</v>
      </c>
      <c r="O27" s="64">
        <f>N27/8760*1000</f>
        <v>40.36490964721548</v>
      </c>
    </row>
    <row r="28" spans="1:14" ht="12.75">
      <c r="A28" s="69" t="s">
        <v>80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1">
        <f t="shared" si="2"/>
        <v>0</v>
      </c>
    </row>
    <row r="29" spans="1:14" ht="12.75">
      <c r="A29" s="69" t="s">
        <v>81</v>
      </c>
      <c r="B29" s="70">
        <v>0</v>
      </c>
      <c r="C29" s="70">
        <v>5.652128295898438</v>
      </c>
      <c r="D29" s="70">
        <v>0</v>
      </c>
      <c r="E29" s="70">
        <v>4.087699127197266</v>
      </c>
      <c r="F29" s="70">
        <v>8.273386993408202</v>
      </c>
      <c r="G29" s="70">
        <v>9.451753845214844</v>
      </c>
      <c r="H29" s="70">
        <v>553.8836201477051</v>
      </c>
      <c r="I29" s="70">
        <v>612.9260914611816</v>
      </c>
      <c r="J29" s="70">
        <v>15.156036224365234</v>
      </c>
      <c r="K29" s="70">
        <v>56.56115173339844</v>
      </c>
      <c r="L29" s="70">
        <v>1.1924935913085937</v>
      </c>
      <c r="M29" s="70">
        <v>0</v>
      </c>
      <c r="N29" s="71">
        <f t="shared" si="2"/>
        <v>1267.1843614196778</v>
      </c>
    </row>
    <row r="30" spans="1:14" ht="12.75">
      <c r="A30" s="69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>
        <f>SUM(N23:N29)</f>
        <v>109874.53747735446</v>
      </c>
    </row>
    <row r="31" spans="1:14" ht="12.75">
      <c r="A31" s="78" t="s">
        <v>83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</row>
    <row r="32" spans="1:14" ht="12.75">
      <c r="A32" s="69" t="s">
        <v>84</v>
      </c>
      <c r="B32" s="71">
        <v>232.24811609375</v>
      </c>
      <c r="C32" s="64">
        <v>129.28361015625</v>
      </c>
      <c r="D32" s="64">
        <v>137.95588375</v>
      </c>
      <c r="E32" s="64">
        <v>38.750877135009766</v>
      </c>
      <c r="F32" s="70">
        <v>10.251291613235473</v>
      </c>
      <c r="G32" s="70">
        <v>15.73344453857422</v>
      </c>
      <c r="H32" s="70">
        <v>39.33785176757812</v>
      </c>
      <c r="I32" s="70">
        <v>82.38958218750001</v>
      </c>
      <c r="J32" s="70">
        <v>98.77077132812501</v>
      </c>
      <c r="K32" s="70">
        <v>128.6683209375</v>
      </c>
      <c r="L32" s="70">
        <v>91.493410859375</v>
      </c>
      <c r="M32" s="70">
        <v>107.85116138671874</v>
      </c>
      <c r="N32" s="71">
        <f>SUM(B32:M32)</f>
        <v>1112.7343217536163</v>
      </c>
    </row>
    <row r="33" spans="1:14" ht="12.75">
      <c r="A33" s="69" t="s">
        <v>85</v>
      </c>
      <c r="B33" s="71">
        <v>-5.967609272460936</v>
      </c>
      <c r="C33" s="70">
        <v>-11.0244513671875</v>
      </c>
      <c r="D33" s="64">
        <v>-18.951182692871093</v>
      </c>
      <c r="E33" s="64">
        <v>-130.2883571875</v>
      </c>
      <c r="F33" s="70">
        <v>-228.56910906250002</v>
      </c>
      <c r="G33" s="70">
        <v>-233.769110625</v>
      </c>
      <c r="H33" s="70">
        <v>-138.7115615625</v>
      </c>
      <c r="I33" s="70">
        <v>-49.246287773437494</v>
      </c>
      <c r="J33" s="70">
        <v>-45.570897958984375</v>
      </c>
      <c r="K33" s="70">
        <v>-38.3171577734375</v>
      </c>
      <c r="L33" s="70">
        <v>-58.09135328125001</v>
      </c>
      <c r="M33" s="70">
        <v>-39.605248867187505</v>
      </c>
      <c r="N33" s="71">
        <f>SUM(B33:M33)</f>
        <v>-998.1123274243165</v>
      </c>
    </row>
    <row r="34" spans="2:15" ht="12.7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2">
        <f>SUM(B32:B33)</f>
        <v>226.28050682128907</v>
      </c>
      <c r="O34" s="64">
        <f>N34/8.76</f>
        <v>25.83110808462204</v>
      </c>
    </row>
    <row r="35" spans="1:14" ht="12.75">
      <c r="A35" s="78" t="s">
        <v>86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</row>
    <row r="36" spans="1:14" ht="12.75">
      <c r="A36" s="69" t="s">
        <v>84</v>
      </c>
      <c r="B36" s="66">
        <v>16872.676728515624</v>
      </c>
      <c r="C36" s="64">
        <v>10069.87451171875</v>
      </c>
      <c r="D36" s="64">
        <v>10297.634860839844</v>
      </c>
      <c r="E36" s="64">
        <v>2732.1143454360963</v>
      </c>
      <c r="F36" s="70">
        <v>767.4612027978897</v>
      </c>
      <c r="G36" s="70">
        <v>1023.3384841918945</v>
      </c>
      <c r="H36" s="70">
        <v>3479.623648071289</v>
      </c>
      <c r="I36" s="70">
        <v>7323.975581054688</v>
      </c>
      <c r="J36" s="70">
        <v>7918.35060546875</v>
      </c>
      <c r="K36" s="70">
        <v>9216.497138671875</v>
      </c>
      <c r="L36" s="70">
        <v>6876.223686523437</v>
      </c>
      <c r="M36" s="70">
        <v>8010.438820190429</v>
      </c>
      <c r="N36" s="71">
        <f>SUM(B36:M36)</f>
        <v>84588.20961348058</v>
      </c>
    </row>
    <row r="37" spans="1:14" ht="12.75">
      <c r="A37" s="69" t="s">
        <v>85</v>
      </c>
      <c r="B37" s="66">
        <v>-392.10894592285155</v>
      </c>
      <c r="C37" s="64">
        <v>-769.1444920349121</v>
      </c>
      <c r="D37" s="64">
        <v>-1197.2724247741698</v>
      </c>
      <c r="E37" s="64">
        <v>-6476.110463867188</v>
      </c>
      <c r="F37" s="70">
        <v>-9982.010766601563</v>
      </c>
      <c r="G37" s="70">
        <v>-8376.891673583985</v>
      </c>
      <c r="H37" s="70">
        <v>-7217.98552734375</v>
      </c>
      <c r="I37" s="70">
        <v>-2850.077947998047</v>
      </c>
      <c r="J37" s="70">
        <v>-2434.3448822021483</v>
      </c>
      <c r="K37" s="70">
        <v>-2087.1780249023436</v>
      </c>
      <c r="L37" s="70">
        <v>-3673.9739965820313</v>
      </c>
      <c r="M37" s="70">
        <v>-2496.374884033203</v>
      </c>
      <c r="N37" s="71">
        <f>SUM(B37:M37)</f>
        <v>-47953.4740298462</v>
      </c>
    </row>
    <row r="38" ht="12.75">
      <c r="N38" s="72">
        <f>SUM(N36:N37)</f>
        <v>36634.73558363438</v>
      </c>
    </row>
    <row r="40" spans="13:14" ht="12.75">
      <c r="M40" s="73" t="s">
        <v>104</v>
      </c>
      <c r="N40" s="72">
        <f>N30+N38</f>
        <v>146509.27306098884</v>
      </c>
    </row>
  </sheetData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Footer>&amp;L&amp;"Geneva,Bold Italic"&amp;9&amp;F &amp;A&amp;R&amp;"Geneva,Bold Italic"&amp;9&amp;D WGJ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Resources</dc:creator>
  <cp:keywords/>
  <dc:description/>
  <cp:lastModifiedBy>Corp Employee</cp:lastModifiedBy>
  <cp:lastPrinted>2008-07-25T18:50:10Z</cp:lastPrinted>
  <dcterms:created xsi:type="dcterms:W3CDTF">1998-10-07T00:01:47Z</dcterms:created>
  <dcterms:modified xsi:type="dcterms:W3CDTF">2008-07-25T18:50:10Z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Motion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2008-07-28T00:00:00Z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