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externalLinks/externalLink6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8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0" yWindow="0" windowWidth="13580" windowHeight="14630"/>
  </bookViews>
  <sheets>
    <sheet name="Exh CTM-02 (UE-132027)" sheetId="46" r:id="rId1"/>
    <sheet name="Allocation of Proceeds" sheetId="47" r:id="rId2"/>
    <sheet name="2014 Rates" sheetId="13" r:id="rId3"/>
    <sheet name="2014 Proposed Annual Impacts" sheetId="12" r:id="rId4"/>
    <sheet name="Estimated Proforma Base Revenue" sheetId="32" r:id="rId5"/>
    <sheet name="Sch 133 Lighting Credit" sheetId="38" r:id="rId6"/>
    <sheet name="Typ Res Tot Elec" sheetId="8" r:id="rId7"/>
    <sheet name="Delivered Loads by Tariff" sheetId="33" r:id="rId8"/>
    <sheet name="F2013 Load Callib" sheetId="42" r:id="rId9"/>
    <sheet name="F2013 Sch Sales Callib" sheetId="41" r:id="rId10"/>
    <sheet name="F2013 Unbilled Change Callib" sheetId="43" r:id="rId11"/>
    <sheet name="Sheet1" sheetId="48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\C" localSheetId="1">'[1]Sched 46'!#REF!</definedName>
    <definedName name="\C">'[1]Sched 46'!#REF!</definedName>
    <definedName name="\M" localSheetId="1">'[1]Sched 46'!#REF!</definedName>
    <definedName name="\M">'[1]Sched 46'!#REF!</definedName>
    <definedName name="\P" localSheetId="1">'[1]Sched 46'!#REF!</definedName>
    <definedName name="\P">'[1]Sched 46'!#REF!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Apr05" localSheetId="1">#REF!</definedName>
    <definedName name="______Apr05">#REF!</definedName>
    <definedName name="______Aug05" localSheetId="1">#REF!</definedName>
    <definedName name="______Aug05">#REF!</definedName>
    <definedName name="______Feb05" localSheetId="1">#REF!</definedName>
    <definedName name="______Feb05">#REF!</definedName>
    <definedName name="______Jan05" localSheetId="1">#REF!</definedName>
    <definedName name="______Jan05">#REF!</definedName>
    <definedName name="______Jul05" localSheetId="1">#REF!</definedName>
    <definedName name="______Jul05">#REF!</definedName>
    <definedName name="______Jun05" localSheetId="1">#REF!</definedName>
    <definedName name="______Jun05">#REF!</definedName>
    <definedName name="______Jun09">" BS!$AI$7:$AI$1643"</definedName>
    <definedName name="______Mar05" localSheetId="1">#REF!</definedName>
    <definedName name="______Mar05">#REF!</definedName>
    <definedName name="______May05" localSheetId="1">#REF!</definedName>
    <definedName name="______May05">#REF!</definedName>
    <definedName name="______Sep05" localSheetId="1">#REF!</definedName>
    <definedName name="______Sep05">#REF!</definedName>
    <definedName name="______six6" hidden="1">{#N/A,#N/A,FALSE,"CRPT";#N/A,#N/A,FALSE,"TREND";#N/A,#N/A,FALSE,"%Curve"}</definedName>
    <definedName name="______www1" hidden="1">{#N/A,#N/A,FALSE,"schA"}</definedName>
    <definedName name="_____Apr04">[2]BS!$U$7:$U$3582</definedName>
    <definedName name="_____Apr05" localSheetId="1">[3]BS!#REF!</definedName>
    <definedName name="_____Apr05">[3]BS!#REF!</definedName>
    <definedName name="_____Aug04">[2]BS!$Y$7:$Y$3582</definedName>
    <definedName name="_____Aug05" localSheetId="1">[3]BS!#REF!</definedName>
    <definedName name="_____Aug05">[3]BS!#REF!</definedName>
    <definedName name="_____Aug09" xml:space="preserve"> [4]BS!$Y$7:$Y$1726</definedName>
    <definedName name="_____DAT1" localSheetId="1">#REF!</definedName>
    <definedName name="_____DAT1">#REF!</definedName>
    <definedName name="_____DAT10" localSheetId="1">#REF!</definedName>
    <definedName name="_____DAT10">#REF!</definedName>
    <definedName name="_____DAT11" localSheetId="1">#REF!</definedName>
    <definedName name="_____DAT11">#REF!</definedName>
    <definedName name="_____DAT12" localSheetId="1">#REF!</definedName>
    <definedName name="_____DAT12">#REF!</definedName>
    <definedName name="_____DAT13" localSheetId="1">#REF!</definedName>
    <definedName name="_____DAT13">#REF!</definedName>
    <definedName name="_____DAT2" localSheetId="1">#REF!</definedName>
    <definedName name="_____DAT2">#REF!</definedName>
    <definedName name="_____DAT3" localSheetId="1">'[5]23600471-WA Utility Tax (Elect)'!#REF!</definedName>
    <definedName name="_____DAT3">'[5]23600471-WA Utility Tax (Elect)'!#REF!</definedName>
    <definedName name="_____DAT4" localSheetId="1">#REF!</definedName>
    <definedName name="_____DAT4">#REF!</definedName>
    <definedName name="_____DAT5" localSheetId="1">#REF!</definedName>
    <definedName name="_____DAT5">#REF!</definedName>
    <definedName name="_____DAT6" localSheetId="1">#REF!</definedName>
    <definedName name="_____DAT6">#REF!</definedName>
    <definedName name="_____DAT7" localSheetId="1">#REF!</definedName>
    <definedName name="_____DAT7">#REF!</definedName>
    <definedName name="_____DAT8" localSheetId="1">#REF!</definedName>
    <definedName name="_____DAT8">#REF!</definedName>
    <definedName name="_____DAT9" localSheetId="1">#REF!</definedName>
    <definedName name="_____DAT9">#REF!</definedName>
    <definedName name="_____Dec03">[6]BS!$T$7:$T$3582</definedName>
    <definedName name="_____Dec04">[2]BS!$AC$7:$AC$3580</definedName>
    <definedName name="_____Feb04">[2]BS!$S$7:$S$3582</definedName>
    <definedName name="_____Feb05" localSheetId="1">[3]BS!#REF!</definedName>
    <definedName name="_____Feb05">[3]BS!#REF!</definedName>
    <definedName name="_____Jan04">[2]BS!$R$7:$R$3582</definedName>
    <definedName name="_____Jan05" localSheetId="1">[3]BS!#REF!</definedName>
    <definedName name="_____Jan05">[3]BS!#REF!</definedName>
    <definedName name="_____Jul04">[2]BS!$X$7:$X$3582</definedName>
    <definedName name="_____Jul05" localSheetId="1">[3]BS!#REF!</definedName>
    <definedName name="_____Jul05">[3]BS!#REF!</definedName>
    <definedName name="_____Jul09" xml:space="preserve"> [4]BS!$X$7:$X$1726</definedName>
    <definedName name="_____Jun04">[2]BS!$W$7:$W$3582</definedName>
    <definedName name="_____Jun05" localSheetId="1">[3]BS!#REF!</definedName>
    <definedName name="_____Jun05">[3]BS!#REF!</definedName>
    <definedName name="_____Jun09">" BS!$AI$7:$AI$1643"</definedName>
    <definedName name="_____Mar04">[2]BS!$T$7:$T$3582</definedName>
    <definedName name="_____Mar05" localSheetId="1">[3]BS!#REF!</definedName>
    <definedName name="_____Mar05">[3]BS!#REF!</definedName>
    <definedName name="_____May04">[2]BS!$V$7:$V$3582</definedName>
    <definedName name="_____May05" localSheetId="1">[3]BS!#REF!</definedName>
    <definedName name="_____May05">[3]BS!#REF!</definedName>
    <definedName name="_____Nov03">[6]BS!$S$7:$S$3582</definedName>
    <definedName name="_____Nov04">[2]BS!$AB$7:$AB$3582</definedName>
    <definedName name="_____Oct03">[6]BS!$R$7:$R$3582</definedName>
    <definedName name="_____Oct04">[2]BS!$AA$7:$AA$3582</definedName>
    <definedName name="_____Sep03">[6]BS!$Q$7:$Q$3582</definedName>
    <definedName name="_____Sep04">[2]BS!$Z$7:$Z$3582</definedName>
    <definedName name="_____Sep05" localSheetId="1">[3]BS!#REF!</definedName>
    <definedName name="_____Sep05">[3]BS!#REF!</definedName>
    <definedName name="_____six6" hidden="1">{#N/A,#N/A,FALSE,"CRPT";#N/A,#N/A,FALSE,"TREND";#N/A,#N/A,FALSE,"%Curve"}</definedName>
    <definedName name="_____www1" hidden="1">{#N/A,#N/A,FALSE,"schA"}</definedName>
    <definedName name="____Apr04">[2]BS!$U$7:$U$3582</definedName>
    <definedName name="____Aug04">[2]BS!$Y$7:$Y$3582</definedName>
    <definedName name="____Aug09" xml:space="preserve"> [4]BS!$Y$7:$Y$1726</definedName>
    <definedName name="____DAT1" localSheetId="1">#REF!</definedName>
    <definedName name="____DAT1">#REF!</definedName>
    <definedName name="____DAT10" localSheetId="1">#REF!</definedName>
    <definedName name="____DAT10">#REF!</definedName>
    <definedName name="____DAT11" localSheetId="1">#REF!</definedName>
    <definedName name="____DAT11">#REF!</definedName>
    <definedName name="____DAT12" localSheetId="1">#REF!</definedName>
    <definedName name="____DAT12">#REF!</definedName>
    <definedName name="____DAT13" localSheetId="1">#REF!</definedName>
    <definedName name="____DAT13">#REF!</definedName>
    <definedName name="____DAT2" localSheetId="1">#REF!</definedName>
    <definedName name="____DAT2">#REF!</definedName>
    <definedName name="____DAT3" localSheetId="1">#REF!</definedName>
    <definedName name="____DAT3">#REF!</definedName>
    <definedName name="____DAT4" localSheetId="1">#REF!</definedName>
    <definedName name="____DAT4">#REF!</definedName>
    <definedName name="____DAT5" localSheetId="1">#REF!</definedName>
    <definedName name="____DAT5">#REF!</definedName>
    <definedName name="____DAT6" localSheetId="1">#REF!</definedName>
    <definedName name="____DAT6">#REF!</definedName>
    <definedName name="____DAT7" localSheetId="1">#REF!</definedName>
    <definedName name="____DAT7">#REF!</definedName>
    <definedName name="____DAT8" localSheetId="1">#REF!</definedName>
    <definedName name="____DAT8">#REF!</definedName>
    <definedName name="____DAT9" localSheetId="1">#REF!</definedName>
    <definedName name="____DAT9">#REF!</definedName>
    <definedName name="____Dec03">[6]BS!$T$7:$T$3582</definedName>
    <definedName name="____Dec04">[2]BS!$AC$7:$AC$3580</definedName>
    <definedName name="____Feb04">[2]BS!$S$7:$S$3582</definedName>
    <definedName name="____Jan04">[2]BS!$R$7:$R$3582</definedName>
    <definedName name="____Jul04">[2]BS!$X$7:$X$3582</definedName>
    <definedName name="____Jul09" xml:space="preserve"> [4]BS!$X$7:$X$1726</definedName>
    <definedName name="____Jun04">[2]BS!$W$7:$W$3582</definedName>
    <definedName name="____Jun09">" BS!$AI$7:$AI$1643"</definedName>
    <definedName name="____Mar04">[2]BS!$T$7:$T$3582</definedName>
    <definedName name="____May04">[2]BS!$V$7:$V$3582</definedName>
    <definedName name="____Nov03">[6]BS!$S$7:$S$3582</definedName>
    <definedName name="____Nov04">[2]BS!$AB$7:$AB$3582</definedName>
    <definedName name="____Oct03">[6]BS!$R$7:$R$3582</definedName>
    <definedName name="____Oct04">[2]BS!$AA$7:$AA$3582</definedName>
    <definedName name="____Sep03">[6]BS!$Q$7:$Q$3582</definedName>
    <definedName name="____Sep04">[2]BS!$Z$7:$Z$3582</definedName>
    <definedName name="____six6" hidden="1">{#N/A,#N/A,FALSE,"CRPT";#N/A,#N/A,FALSE,"TREND";#N/A,#N/A,FALSE,"%Curve"}</definedName>
    <definedName name="____www1" hidden="1">{#N/A,#N/A,FALSE,"schA"}</definedName>
    <definedName name="___Apr04">[2]BS!$U$7:$U$3582</definedName>
    <definedName name="___Apr05" localSheetId="1">[3]BS!#REF!</definedName>
    <definedName name="___Apr05">[3]BS!#REF!</definedName>
    <definedName name="___Aug04">[2]BS!$Y$7:$Y$3582</definedName>
    <definedName name="___Aug05" localSheetId="1">[3]BS!#REF!</definedName>
    <definedName name="___Aug05">[3]BS!#REF!</definedName>
    <definedName name="___Aug09" xml:space="preserve"> [4]BS!$Y$7:$Y$1726</definedName>
    <definedName name="___DAT1" localSheetId="1">#REF!</definedName>
    <definedName name="___DAT1">#REF!</definedName>
    <definedName name="___DAT10" localSheetId="1">#REF!</definedName>
    <definedName name="___DAT10">#REF!</definedName>
    <definedName name="___DAT11" localSheetId="1">#REF!</definedName>
    <definedName name="___DAT11">#REF!</definedName>
    <definedName name="___DAT12" localSheetId="1">#REF!</definedName>
    <definedName name="___DAT12">#REF!</definedName>
    <definedName name="___DAT13" localSheetId="1">#REF!</definedName>
    <definedName name="___DAT13">#REF!</definedName>
    <definedName name="___DAT2" localSheetId="1">#REF!</definedName>
    <definedName name="___DAT2">#REF!</definedName>
    <definedName name="___DAT3" localSheetId="1">#REF!</definedName>
    <definedName name="___DAT3">#REF!</definedName>
    <definedName name="___DAT4" localSheetId="1">#REF!</definedName>
    <definedName name="___DAT4">#REF!</definedName>
    <definedName name="___DAT5" localSheetId="1">#REF!</definedName>
    <definedName name="___DAT5">#REF!</definedName>
    <definedName name="___DAT6" localSheetId="1">#REF!</definedName>
    <definedName name="___DAT6">#REF!</definedName>
    <definedName name="___DAT7" localSheetId="1">#REF!</definedName>
    <definedName name="___DAT7">#REF!</definedName>
    <definedName name="___DAT8" localSheetId="1">#REF!</definedName>
    <definedName name="___DAT8">#REF!</definedName>
    <definedName name="___DAT9" localSheetId="1">#REF!</definedName>
    <definedName name="___DAT9">#REF!</definedName>
    <definedName name="___Dec03">[6]BS!$T$7:$T$3582</definedName>
    <definedName name="___Dec04">[2]BS!$AC$7:$AC$3580</definedName>
    <definedName name="___Dec05" localSheetId="1">#REF!</definedName>
    <definedName name="___Dec05">#REF!</definedName>
    <definedName name="___Feb04">[2]BS!$S$7:$S$3582</definedName>
    <definedName name="___Feb05" localSheetId="1">[3]BS!#REF!</definedName>
    <definedName name="___Feb05">[3]BS!#REF!</definedName>
    <definedName name="___Jan04">[2]BS!$R$7:$R$3582</definedName>
    <definedName name="___Jan05" localSheetId="1">[3]BS!#REF!</definedName>
    <definedName name="___Jan05">[3]BS!#REF!</definedName>
    <definedName name="___Jan06" localSheetId="1">[7]BS!#REF!</definedName>
    <definedName name="___Jan06">[7]BS!#REF!</definedName>
    <definedName name="___Jul04">[2]BS!$X$7:$X$3582</definedName>
    <definedName name="___Jul05" localSheetId="1">[3]BS!#REF!</definedName>
    <definedName name="___Jul05">[3]BS!#REF!</definedName>
    <definedName name="___Jul09" xml:space="preserve"> [4]BS!$X$7:$X$1726</definedName>
    <definedName name="___Jun04">[2]BS!$W$7:$W$3582</definedName>
    <definedName name="___Jun05" localSheetId="1">[3]BS!#REF!</definedName>
    <definedName name="___Jun05">[3]BS!#REF!</definedName>
    <definedName name="___Jun09">" BS!$AI$7:$AI$1643"</definedName>
    <definedName name="___Mar04">[2]BS!$T$7:$T$3582</definedName>
    <definedName name="___Mar05" localSheetId="1">[3]BS!#REF!</definedName>
    <definedName name="___Mar05">[3]BS!#REF!</definedName>
    <definedName name="___May04">[2]BS!$V$7:$V$3582</definedName>
    <definedName name="___May05" localSheetId="1">[3]BS!#REF!</definedName>
    <definedName name="___May05">[3]BS!#REF!</definedName>
    <definedName name="___mwh2" localSheetId="1">#REF!</definedName>
    <definedName name="___mwh2">#REF!</definedName>
    <definedName name="___Nov03">[6]BS!$S$7:$S$3582</definedName>
    <definedName name="___Nov04">[2]BS!$AB$7:$AB$3582</definedName>
    <definedName name="___Nov05" localSheetId="1">#REF!</definedName>
    <definedName name="___Nov05">#REF!</definedName>
    <definedName name="___Oct03">[6]BS!$R$7:$R$3582</definedName>
    <definedName name="___Oct04">[2]BS!$AA$7:$AA$3582</definedName>
    <definedName name="___Oct05" localSheetId="1">#REF!</definedName>
    <definedName name="___Oct05">#REF!</definedName>
    <definedName name="___PC1">[8]CLASSIFIERS!$A$7:$IV$7</definedName>
    <definedName name="___PC2">[8]CLASSIFIERS!$A$10:$IV$10</definedName>
    <definedName name="___PC3">[8]CLASSIFIERS!$A$12:$IV$12</definedName>
    <definedName name="___PC4">[8]CLASSIFIERS!$A$13:$IV$13</definedName>
    <definedName name="___RES2005" localSheetId="1">#REF!</definedName>
    <definedName name="___RES2005">#REF!</definedName>
    <definedName name="___SEC24">[8]EXTERNAL!$A$112:$IV$114</definedName>
    <definedName name="___Sep03">[6]BS!$Q$7:$Q$3582</definedName>
    <definedName name="___Sep04">[2]BS!$Z$7:$Z$3582</definedName>
    <definedName name="___Sep05" localSheetId="1">[3]BS!#REF!</definedName>
    <definedName name="___Sep05">[3]BS!#REF!</definedName>
    <definedName name="___six6" hidden="1">{#N/A,#N/A,FALSE,"CRPT";#N/A,#N/A,FALSE,"TREND";#N/A,#N/A,FALSE,"%Curve"}</definedName>
    <definedName name="___www1" hidden="1">{#N/A,#N/A,FALSE,"schA"}</definedName>
    <definedName name="__123Graph_D" localSheetId="1" hidden="1">#REF!</definedName>
    <definedName name="__123Graph_D" hidden="1">#REF!</definedName>
    <definedName name="__123Graph_ECURRENT" localSheetId="1" hidden="1">[9]ConsolidatingPL!#REF!</definedName>
    <definedName name="__123Graph_ECURRENT" hidden="1">[9]ConsolidatingPL!#REF!</definedName>
    <definedName name="__Apr04">[2]BS!$U$7:$U$3582</definedName>
    <definedName name="__Apr05" localSheetId="1">#REF!</definedName>
    <definedName name="__Apr05">#REF!</definedName>
    <definedName name="__Aug04">[2]BS!$Y$7:$Y$3582</definedName>
    <definedName name="__Aug05" localSheetId="1">#REF!</definedName>
    <definedName name="__Aug05">#REF!</definedName>
    <definedName name="__Aug09" xml:space="preserve"> [4]BS!$Y$7:$Y$1726</definedName>
    <definedName name="__DAT1" localSheetId="1">#REF!</definedName>
    <definedName name="__DAT1">#REF!</definedName>
    <definedName name="__DAT10" localSheetId="1">#REF!</definedName>
    <definedName name="__DAT10">#REF!</definedName>
    <definedName name="__DAT11" localSheetId="1">#REF!</definedName>
    <definedName name="__DAT11">#REF!</definedName>
    <definedName name="__DAT12" localSheetId="1">#REF!</definedName>
    <definedName name="__DAT12">#REF!</definedName>
    <definedName name="__DAT13" localSheetId="1">#REF!</definedName>
    <definedName name="__DAT13">#REF!</definedName>
    <definedName name="__DAT2" localSheetId="1">#REF!</definedName>
    <definedName name="__DAT2">#REF!</definedName>
    <definedName name="__DAT3" localSheetId="1">'[5]23600471-WA Utility Tax (Elect)'!#REF!</definedName>
    <definedName name="__DAT3">'[5]23600471-WA Utility Tax (Elect)'!#REF!</definedName>
    <definedName name="__DAT4" localSheetId="1">#REF!</definedName>
    <definedName name="__DAT4">#REF!</definedName>
    <definedName name="__DAT5" localSheetId="1">#REF!</definedName>
    <definedName name="__DAT5">#REF!</definedName>
    <definedName name="__DAT6" localSheetId="1">#REF!</definedName>
    <definedName name="__DAT6">#REF!</definedName>
    <definedName name="__DAT7" localSheetId="1">#REF!</definedName>
    <definedName name="__DAT7">#REF!</definedName>
    <definedName name="__DAT8" localSheetId="1">#REF!</definedName>
    <definedName name="__DAT8">#REF!</definedName>
    <definedName name="__DAT9" localSheetId="1">#REF!</definedName>
    <definedName name="__DAT9">#REF!</definedName>
    <definedName name="__Dec03">[6]BS!$T$7:$T$3582</definedName>
    <definedName name="__Dec04">[2]BS!$AC$7:$AC$3580</definedName>
    <definedName name="__Dec05" localSheetId="1">#REF!</definedName>
    <definedName name="__Dec05">#REF!</definedName>
    <definedName name="__Feb04">[2]BS!$S$7:$S$3582</definedName>
    <definedName name="__Feb05" localSheetId="1">#REF!</definedName>
    <definedName name="__Feb05">#REF!</definedName>
    <definedName name="__Jan04">[2]BS!$R$7:$R$3582</definedName>
    <definedName name="__Jan05" localSheetId="1">#REF!</definedName>
    <definedName name="__Jan05">#REF!</definedName>
    <definedName name="__Jan06" localSheetId="1">[7]BS!#REF!</definedName>
    <definedName name="__Jan06">[7]BS!#REF!</definedName>
    <definedName name="__Jul04">[2]BS!$X$7:$X$3582</definedName>
    <definedName name="__Jul05" localSheetId="1">#REF!</definedName>
    <definedName name="__Jul05">#REF!</definedName>
    <definedName name="__Jul09" xml:space="preserve"> [4]BS!$X$7:$X$1726</definedName>
    <definedName name="__Jun04">[2]BS!$W$7:$W$3582</definedName>
    <definedName name="__Jun05" localSheetId="1">#REF!</definedName>
    <definedName name="__Jun05">#REF!</definedName>
    <definedName name="__Jun09">" BS!$AI$7:$AI$1643"</definedName>
    <definedName name="__Mar04">[2]BS!$T$7:$T$3582</definedName>
    <definedName name="__Mar05" localSheetId="1">#REF!</definedName>
    <definedName name="__Mar05">#REF!</definedName>
    <definedName name="__May04">[2]BS!$V$7:$V$3582</definedName>
    <definedName name="__May05" localSheetId="1">#REF!</definedName>
    <definedName name="__May05">#REF!</definedName>
    <definedName name="__mwh2" localSheetId="1">#REF!</definedName>
    <definedName name="__mwh2">#REF!</definedName>
    <definedName name="__Nov03">[6]BS!$S$7:$S$3582</definedName>
    <definedName name="__Nov04">[2]BS!$AB$7:$AB$3582</definedName>
    <definedName name="__Nov05" localSheetId="1">#REF!</definedName>
    <definedName name="__Nov05">#REF!</definedName>
    <definedName name="__Oct03">[6]BS!$R$7:$R$3582</definedName>
    <definedName name="__Oct04">[2]BS!$AA$7:$AA$3582</definedName>
    <definedName name="__Oct05" localSheetId="1">#REF!</definedName>
    <definedName name="__Oct05">#REF!</definedName>
    <definedName name="__PC1">[8]CLASSIFIERS!$A$7:$IV$7</definedName>
    <definedName name="__PC2">[8]CLASSIFIERS!$A$10:$IV$10</definedName>
    <definedName name="__PC3">[8]CLASSIFIERS!$A$12:$IV$12</definedName>
    <definedName name="__PC4">[8]CLASSIFIERS!$A$13:$IV$13</definedName>
    <definedName name="__RES2005" localSheetId="1">#REF!</definedName>
    <definedName name="__RES2005">#REF!</definedName>
    <definedName name="__SEC24">[8]EXTERNAL!$A$112:$IV$114</definedName>
    <definedName name="__Sep03">[6]BS!$Q$7:$Q$3582</definedName>
    <definedName name="__Sep04">[2]BS!$Z$7:$Z$3582</definedName>
    <definedName name="__Sep05" localSheetId="1">#REF!</definedName>
    <definedName name="__Sep05">#REF!</definedName>
    <definedName name="__six6" hidden="1">{#N/A,#N/A,FALSE,"CRPT";#N/A,#N/A,FALSE,"TREND";#N/A,#N/A,FALSE,"%Curve"}</definedName>
    <definedName name="__www1" hidden="1">{#N/A,#N/A,FALSE,"schA"}</definedName>
    <definedName name="_1_94_12_94" localSheetId="1">[10]DT_A_DOL93!#REF!</definedName>
    <definedName name="_1_94_12_94">[10]DT_A_DOL93!#REF!</definedName>
    <definedName name="_1_95_12_95" localSheetId="1">[10]DT_A_DOL93!#REF!</definedName>
    <definedName name="_1_95_12_95">[10]DT_A_DOL93!#REF!</definedName>
    <definedName name="_1_96_12_96" localSheetId="1">[10]DT_A_DOL93!#REF!</definedName>
    <definedName name="_1_96_12_96">[10]DT_A_DOL93!#REF!</definedName>
    <definedName name="_1_97_12_97" localSheetId="1">[10]DT_A_DOL93!#REF!</definedName>
    <definedName name="_1_97_12_97">[10]DT_A_DOL93!#REF!</definedName>
    <definedName name="_1_98_12_98" localSheetId="1">[10]DT_A_DOL93!#REF!</definedName>
    <definedName name="_1_98_12_98">[10]DT_A_DOL93!#REF!</definedName>
    <definedName name="_11" localSheetId="1">#REF!</definedName>
    <definedName name="_11">#REF!</definedName>
    <definedName name="_31" localSheetId="1">#REF!</definedName>
    <definedName name="_31">#REF!</definedName>
    <definedName name="_36" localSheetId="1">#REF!</definedName>
    <definedName name="_36">#REF!</definedName>
    <definedName name="_41" localSheetId="1">#REF!</definedName>
    <definedName name="_41">#REF!</definedName>
    <definedName name="_43" localSheetId="1">#REF!</definedName>
    <definedName name="_43">#REF!</definedName>
    <definedName name="_50" localSheetId="1">#REF!</definedName>
    <definedName name="_50">#REF!</definedName>
    <definedName name="_51" localSheetId="1">#REF!</definedName>
    <definedName name="_51">#REF!</definedName>
    <definedName name="_57" localSheetId="1">#REF!</definedName>
    <definedName name="_57">#REF!</definedName>
    <definedName name="_85" localSheetId="1">#REF!</definedName>
    <definedName name="_85">#REF!</definedName>
    <definedName name="_85_86" localSheetId="1">#REF!</definedName>
    <definedName name="_85_86">#REF!</definedName>
    <definedName name="_86" localSheetId="1">#REF!</definedName>
    <definedName name="_86">#REF!</definedName>
    <definedName name="_87" localSheetId="1">#REF!</definedName>
    <definedName name="_87">#REF!</definedName>
    <definedName name="_ALL_RATES" localSheetId="1">#REF!</definedName>
    <definedName name="_ALL_RATES">#REF!</definedName>
    <definedName name="_Apr04">[2]BS!$U$7:$U$3582</definedName>
    <definedName name="_Apr05" localSheetId="1">#REF!</definedName>
    <definedName name="_Apr05">#REF!</definedName>
    <definedName name="_Apr09" xml:space="preserve"> [4]BS!$U$7:$U$1726</definedName>
    <definedName name="_Aug04">[2]BS!$Y$7:$Y$3582</definedName>
    <definedName name="_Aug05" localSheetId="1">#REF!</definedName>
    <definedName name="_Aug05">#REF!</definedName>
    <definedName name="_Aug09" xml:space="preserve"> [4]BS!$Y$7:$Y$1726</definedName>
    <definedName name="_DAT10" localSheetId="1">#REF!</definedName>
    <definedName name="_DAT10">#REF!</definedName>
    <definedName name="_DAT11" localSheetId="1">#REF!</definedName>
    <definedName name="_DAT11">#REF!</definedName>
    <definedName name="_DAT12" localSheetId="1">#REF!</definedName>
    <definedName name="_DAT12">#REF!</definedName>
    <definedName name="_DAT13" localSheetId="1">#REF!</definedName>
    <definedName name="_DAT13">#REF!</definedName>
    <definedName name="_DAT2" localSheetId="1">#REF!</definedName>
    <definedName name="_DAT2">#REF!</definedName>
    <definedName name="_DAT3" localSheetId="1">#REF!</definedName>
    <definedName name="_DAT3">#REF!</definedName>
    <definedName name="_DAT4" localSheetId="1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DAT7" localSheetId="1">#REF!</definedName>
    <definedName name="_DAT7">#REF!</definedName>
    <definedName name="_DAT8" localSheetId="1">#REF!</definedName>
    <definedName name="_DAT8">#REF!</definedName>
    <definedName name="_Dec03">[6]BS!$T$7:$T$3582</definedName>
    <definedName name="_Dec04">[2]BS!$AC$7:$AC$3580</definedName>
    <definedName name="_Dec05" localSheetId="1">#REF!</definedName>
    <definedName name="_Dec05">#REF!</definedName>
    <definedName name="_Dec08" xml:space="preserve"> [4]BS!$Q$7:$Q$1726</definedName>
    <definedName name="_End" localSheetId="1">#REF!</definedName>
    <definedName name="_End">#REF!</definedName>
    <definedName name="_ex1" hidden="1">{#N/A,#N/A,FALSE,"Summ";#N/A,#N/A,FALSE,"General"}</definedName>
    <definedName name="_Feb04">[2]BS!$S$7:$S$3582</definedName>
    <definedName name="_Feb05" localSheetId="1">#REF!</definedName>
    <definedName name="_Feb05">#REF!</definedName>
    <definedName name="_FEB09" xml:space="preserve"> [4]BS!$S$7:$S$1726</definedName>
    <definedName name="_Fill" localSheetId="1">[11]model!#REF!</definedName>
    <definedName name="_Fill">[11]model!#REF!</definedName>
    <definedName name="_Filter" localSheetId="1">#REF!</definedName>
    <definedName name="_Filter">#REF!</definedName>
    <definedName name="_Jan04">[2]BS!$R$7:$R$3582</definedName>
    <definedName name="_Jan05" localSheetId="1">#REF!</definedName>
    <definedName name="_Jan05">#REF!</definedName>
    <definedName name="_Jan06" localSheetId="1">[7]BS!#REF!</definedName>
    <definedName name="_Jan06">[7]BS!#REF!</definedName>
    <definedName name="_Jul04">[2]BS!$X$7:$X$3582</definedName>
    <definedName name="_Jul05" localSheetId="1">#REF!</definedName>
    <definedName name="_Jul05">#REF!</definedName>
    <definedName name="_Jul09" xml:space="preserve"> [4]BS!$X$7:$X$1726</definedName>
    <definedName name="_Jun04">[2]BS!$W$7:$W$3582</definedName>
    <definedName name="_Jun05" localSheetId="1">#REF!</definedName>
    <definedName name="_Jun05">#REF!</definedName>
    <definedName name="_Jun09" xml:space="preserve"> [4]BS!$W$7:$W$1726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Mar04">[2]BS!$T$7:$T$3582</definedName>
    <definedName name="_Mar05" localSheetId="1">#REF!</definedName>
    <definedName name="_Mar05">#REF!</definedName>
    <definedName name="_May04">[2]BS!$V$7:$V$3582</definedName>
    <definedName name="_May05" localSheetId="1">#REF!</definedName>
    <definedName name="_May05">#REF!</definedName>
    <definedName name="_May09" xml:space="preserve"> [4]BS!$V$7:$V$1726</definedName>
    <definedName name="_mwh2" localSheetId="1">#REF!</definedName>
    <definedName name="_mwh2">#REF!</definedName>
    <definedName name="_new1" hidden="1">{#N/A,#N/A,FALSE,"Summ";#N/A,#N/A,FALSE,"General"}</definedName>
    <definedName name="_Nov03">[6]BS!$S$7:$S$3582</definedName>
    <definedName name="_Nov04">[2]BS!$AB$7:$AB$3582</definedName>
    <definedName name="_Nov05" localSheetId="1">#REF!</definedName>
    <definedName name="_Nov05">#REF!</definedName>
    <definedName name="_Oct03">[6]BS!$R$7:$R$3582</definedName>
    <definedName name="_Oct04">[2]BS!$AA$7:$AA$3582</definedName>
    <definedName name="_Oct05" localSheetId="1">#REF!</definedName>
    <definedName name="_Oct05">#REF!</definedName>
    <definedName name="_Oct09" xml:space="preserve"> [4]BS!$AA$7:$AA$1726</definedName>
    <definedName name="_Order1" hidden="1">255</definedName>
    <definedName name="_Order2" hidden="1">255</definedName>
    <definedName name="_P_RD" localSheetId="1">#REF!</definedName>
    <definedName name="_P_RD">#REF!</definedName>
    <definedName name="_PC1">[8]CLASSIFIERS!$A$7:$IV$7</definedName>
    <definedName name="_PC2">[8]CLASSIFIERS!$A$10:$IV$10</definedName>
    <definedName name="_PC3">[8]CLASSIFIERS!$A$12:$IV$12</definedName>
    <definedName name="_PC4">[8]CLASSIFIERS!$A$13:$IV$13</definedName>
    <definedName name="_PRINT_23_36" localSheetId="1">#REF!</definedName>
    <definedName name="_PRINT_23_36">#REF!</definedName>
    <definedName name="_PRINT_85_58" localSheetId="1">#REF!</definedName>
    <definedName name="_PRINT_85_58">#REF!</definedName>
    <definedName name="_RATE_DESIGN" localSheetId="1">#REF!</definedName>
    <definedName name="_RATE_DESIGN">#REF!</definedName>
    <definedName name="_Regression_Int" hidden="1">1</definedName>
    <definedName name="_RES" localSheetId="1">#REF!</definedName>
    <definedName name="_RES">#REF!</definedName>
    <definedName name="_RES2005" localSheetId="1">#REF!</definedName>
    <definedName name="_RES2005">#REF!</definedName>
    <definedName name="_SEC24">[8]EXTERNAL!$A$112:$IV$114</definedName>
    <definedName name="_Sep03">[12]BS!$AB$7:$AB$3420</definedName>
    <definedName name="_Sep04">[2]BS!$Z$7:$Z$3582</definedName>
    <definedName name="_Sep05" localSheetId="1">#REF!</definedName>
    <definedName name="_Sep05">#REF!</definedName>
    <definedName name="_six6" hidden="1">{#N/A,#N/A,FALSE,"CRPT";#N/A,#N/A,FALSE,"TREND";#N/A,#N/A,FALSE,"%Curve"}</definedName>
    <definedName name="_Sort" localSheetId="1" hidden="1">#REF!</definedName>
    <definedName name="_Sort" hidden="1">#REF!</definedName>
    <definedName name="_www1" localSheetId="5" hidden="1">{#N/A,#N/A,FALSE,"schA"}</definedName>
    <definedName name="_www1" hidden="1">{#N/A,#N/A,FALSE,"schA"}</definedName>
    <definedName name="a">[13]model!$A$6</definedName>
    <definedName name="AccessDatabase" hidden="1">"I:\COMTREL\FINICLE\TradeSummary.mdb"</definedName>
    <definedName name="accrual" localSheetId="1">[14]Sheet2!#REF!</definedName>
    <definedName name="accrual">[14]Sheet2!#REF!</definedName>
    <definedName name="accrual2" localSheetId="1">[14]Sheet2!#REF!</definedName>
    <definedName name="accrual2">[14]Sheet2!#REF!</definedName>
    <definedName name="accrual3" localSheetId="1">[14]Sheet2!#REF!</definedName>
    <definedName name="accrual3">[14]Sheet2!#REF!</definedName>
    <definedName name="Acq1Plant">'[15]Acquisition Inputs'!$C$8</definedName>
    <definedName name="Acq2Plant">'[15]Acquisition Inputs'!$C$70</definedName>
    <definedName name="Adj_AC_8" localSheetId="1">[16]Cover!#REF!</definedName>
    <definedName name="Adj_AC_8">[16]Cover!#REF!</definedName>
    <definedName name="Adj_Amt_8" localSheetId="1">[16]Cover!#REF!</definedName>
    <definedName name="Adj_Amt_8">[16]Cover!#REF!</definedName>
    <definedName name="Adj_Typ_8" localSheetId="1">[16]Cover!#REF!</definedName>
    <definedName name="Adj_Typ_8">[16]Cover!#REF!</definedName>
    <definedName name="ADJPTDCE.T">[8]INTERNAL!$A$31:$IV$33</definedName>
    <definedName name="afudcrate" localSheetId="1">#REF!</definedName>
    <definedName name="afudcrate">#REF!</definedName>
    <definedName name="afudctaxbasis" localSheetId="1">#REF!</definedName>
    <definedName name="afudctaxbasis">#REF!</definedName>
    <definedName name="all_total" localSheetId="1">'[1]Sched 46'!#REF!</definedName>
    <definedName name="all_total">'[1]Sched 46'!#REF!</definedName>
    <definedName name="ANCIL">[8]EXTERNAL!$A$163:$IV$165</definedName>
    <definedName name="apeek" localSheetId="1">#REF!</definedName>
    <definedName name="apeek">#REF!</definedName>
    <definedName name="Apr03AMA" localSheetId="1">'[17]BS C&amp;L'!#REF!</definedName>
    <definedName name="Apr03AMA">'[17]BS C&amp;L'!#REF!</definedName>
    <definedName name="Apr04AMA">[2]BS!$AG$7:$AG$3582</definedName>
    <definedName name="Apr05AMA" localSheetId="1">#REF!</definedName>
    <definedName name="Apr05AMA">#REF!</definedName>
    <definedName name="APR09AMA">[4]BS!$AN$7:$AN$1725</definedName>
    <definedName name="Apr10AMA">[4]BS!$AZ$7:$AZ$1726</definedName>
    <definedName name="aquila_lookup">'[18]Cabot Gas Replacement'!$B$8:$F$16</definedName>
    <definedName name="AS2DocOpenMode" hidden="1">"AS2DocumentEdit"</definedName>
    <definedName name="Asset_Class_Switch">[19]Assumptions!$D$5</definedName>
    <definedName name="Assume_Percent_Change" localSheetId="1">#REF!</definedName>
    <definedName name="Assume_Percent_Change">#REF!</definedName>
    <definedName name="Aug03AMA" localSheetId="1">'[17]BS C&amp;L'!#REF!</definedName>
    <definedName name="Aug03AMA">'[17]BS C&amp;L'!#REF!</definedName>
    <definedName name="Aug04AMA">[2]BS!$AK$7:$AK$3582</definedName>
    <definedName name="Aug05AMA" localSheetId="1">#REF!</definedName>
    <definedName name="Aug05AMA">#REF!</definedName>
    <definedName name="Aug09AMA">[4]BS!$AR$7:$AR$1726</definedName>
    <definedName name="augcf" localSheetId="1">#REF!</definedName>
    <definedName name="augcf">#REF!</definedName>
    <definedName name="augcost" localSheetId="1">#REF!</definedName>
    <definedName name="augcost">#REF!</definedName>
    <definedName name="Aurora_Prices">"Monthly Price Summary'!$C$4:$H$63"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BADDEBT" localSheetId="1">[11]model!#REF!</definedName>
    <definedName name="BADDEBT">[11]model!#REF!</definedName>
    <definedName name="bal" localSheetId="1">[14]Sheet2!#REF!</definedName>
    <definedName name="bal">[14]Sheet2!#REF!</definedName>
    <definedName name="balance" localSheetId="1">[14]Sheet2!#REF!</definedName>
    <definedName name="balance">[14]Sheet2!#REF!</definedName>
    <definedName name="BD" localSheetId="1">#REF!</definedName>
    <definedName name="BD">#REF!</definedName>
    <definedName name="BEP" localSheetId="1">#REF!</definedName>
    <definedName name="BEP">#REF!</definedName>
    <definedName name="BEx0017DGUEDPCFJUPUZOOLJCS2B" localSheetId="1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1" hidden="1">#REF!</definedName>
    <definedName name="BEx3L7D0PI38HWZ7VADU16C9E33D" hidden="1">#REF!</definedName>
    <definedName name="BEx3LANPY1HT49TAH98H4B9RC1D4" localSheetId="1" hidden="1">#REF!</definedName>
    <definedName name="BEx3LANPY1HT49TAH98H4B9RC1D4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1" hidden="1">[20]ZZCOOM_M03_Q004!#REF!</definedName>
    <definedName name="BEx3O85IKWARA6NCJOLRBRJFMEWW" hidden="1">[20]ZZCOOM_M03_Q004!#REF!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1" hidden="1">#REF!</definedName>
    <definedName name="BEx3UKOCOQG7S1YQ436S997K1KWV" hidden="1">#REF!</definedName>
    <definedName name="BEx3UNISOEXF3OFHT2BUA6P9RBIJ" localSheetId="1" hidden="1">#REF!</definedName>
    <definedName name="BEx3UNISOEXF3OFHT2BUA6P9RBIJ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1" hidden="1">[20]ZZCOOM_M03_Q004!#REF!</definedName>
    <definedName name="BEx5MLQZM68YQSKARVWTTPINFQ2C" hidden="1">[20]ZZCOOM_M03_Q004!#REF!</definedName>
    <definedName name="BEx5MMCJMU7FOOWUCW9EA13B7V5F" localSheetId="1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1" hidden="1">#REF!</definedName>
    <definedName name="BEx9EG9KBJ77M8LEOR9ITOKN5KXY" hidden="1">#REF!</definedName>
    <definedName name="BEx9EL27NGDBCTVPW97K42QANS5K" localSheetId="1" hidden="1">#REF!</definedName>
    <definedName name="BEx9EL27NGDBCTVPW97K42QANS5K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1" hidden="1">#REF!</definedName>
    <definedName name="BExBCK9SCAABKOT9IP6TEPRR7YDT" hidden="1">#REF!</definedName>
    <definedName name="BExBCKKJFFT2RP50WNPKBT7X8PJ3" localSheetId="1" hidden="1">#REF!</definedName>
    <definedName name="BExBCKKJFFT2RP50WNPKBT7X8PJ3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1" hidden="1">#REF!</definedName>
    <definedName name="BExDCP3UZ3C2O4C1F7KMU0Z9U32N" hidden="1">#REF!</definedName>
    <definedName name="BExENU8ISP26W97JG63CN1XT9KB4" localSheetId="1" hidden="1">#REF!</definedName>
    <definedName name="BExENU8ISP26W97JG63CN1XT9KB4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1" hidden="1">[20]ZZCOOM_M03_Q004!#REF!</definedName>
    <definedName name="BExERWCEBKQRYWRQLYJ4UCMMKTHG" hidden="1">[20]ZZCOOM_M03_Q004!#REF!</definedName>
    <definedName name="BExERXE1QW042A2T25RI4DVUU59O" localSheetId="1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1" hidden="1">#REF!</definedName>
    <definedName name="BExEUNU7FYVTR4DD1D31SS7PNXX2" hidden="1">#REF!</definedName>
    <definedName name="BExEUOAHB0OT3BACAHNZ3B905C0P" localSheetId="1" hidden="1">#REF!</definedName>
    <definedName name="BExEUOAHB0OT3BACAHNZ3B905C0P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1" hidden="1">#REF!</definedName>
    <definedName name="BExGR9ATP2LVT7B9OCPSLJ11H9SX" hidden="1">#REF!</definedName>
    <definedName name="BExGrid1" localSheetId="1">#REF!</definedName>
    <definedName name="BExGrid1">#REF!</definedName>
    <definedName name="BExGRILCZ3BMTGDY72B1Q9BUGW0J" localSheetId="1" hidden="1">#REF!</definedName>
    <definedName name="BExGRILCZ3BMTGDY72B1Q9BUGW0J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1" hidden="1">#REF!</definedName>
    <definedName name="BExIPKNFUDPDKOSH5GHDVNA8D66S" hidden="1">#REF!</definedName>
    <definedName name="BExIPVL5VEVK9Q7AYB7EC2VZWBEZ" localSheetId="1" hidden="1">#REF!</definedName>
    <definedName name="BExIPVL5VEVK9Q7AYB7EC2VZWBEZ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1" hidden="1">#REF!</definedName>
    <definedName name="BExITBNYANV2S8KD56GOGCKW393R" hidden="1">#REF!</definedName>
    <definedName name="BExItemGrid" localSheetId="1">#REF!</definedName>
    <definedName name="BExItemGrid">#REF!</definedName>
    <definedName name="BExITGB4FVAV0LE88D7JMX7FBYXI" localSheetId="1" hidden="1">#REF!</definedName>
    <definedName name="BExITGB4FVAV0LE88D7JMX7FBYXI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1" hidden="1">#REF!</definedName>
    <definedName name="BExKGNK5YGKP0YHHTAAOV17Z9EIM" hidden="1">#REF!</definedName>
    <definedName name="BExKGQ3T3TWGZUSNVWJE1XWXHGRQ" localSheetId="1" hidden="1">#REF!</definedName>
    <definedName name="BExKGQ3T3TWGZUSNVWJE1XWXHGRQ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1" hidden="1">#REF!</definedName>
    <definedName name="BExKPFFSVTL757PNITV8R9RN4452" hidden="1">#REF!</definedName>
    <definedName name="BExKPIL5ZWOXQAENH3VP3ZHA2N7N" localSheetId="1" hidden="1">#REF!</definedName>
    <definedName name="BExKPIL5ZWOXQAENH3VP3ZHA2N7N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1" hidden="1">[20]ZZCOOM_M03_Q004!#REF!</definedName>
    <definedName name="BExMBYPQDG9AYDQ5E8IECVFREPO6" hidden="1">[20]ZZCOOM_M03_Q004!#REF!</definedName>
    <definedName name="BExMC7PESEESXVMDCGGIP5LPMUGY" localSheetId="1" hidden="1">#REF!</definedName>
    <definedName name="BExMC7PESEESXVMDCGGIP5LPMUGY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1" hidden="1">#REF!</definedName>
    <definedName name="BExMKP92JGBM5BJO174H9A4HQIB9" hidden="1">#REF!</definedName>
    <definedName name="BExMKPEDT6IOYLLC3KJKRZOETC3Y" localSheetId="1" hidden="1">#REF!</definedName>
    <definedName name="BExMKPEDT6IOYLLC3KJKRZOETC3Y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1" hidden="1">[20]ZZCOOM_M03_Q004!#REF!</definedName>
    <definedName name="BExQ9ZLYHWABXAA9NJDW8ZS0UQ9P" hidden="1">[20]ZZCOOM_M03_Q004!#REF!</definedName>
    <definedName name="BExQ9ZWQ19KSRZNZNPY6ZNWEST1J" localSheetId="1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1" hidden="1">#REF!</definedName>
    <definedName name="BExQG8TYRD2G42UA5ZPCRLNKUDMX" hidden="1">#REF!</definedName>
    <definedName name="BExQG9A8OZ31BDN5QEGQGWG59A43" localSheetId="1" hidden="1">#REF!</definedName>
    <definedName name="BExQG9A8OZ31BDN5QEGQGWG59A43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1" hidden="1">#REF!</definedName>
    <definedName name="BExQL2NSE8OYZFXQH8A23RMVMFW7" hidden="1">#REF!</definedName>
    <definedName name="BExQL4GJ3LZJL6JDEHT7UDXW90TV" localSheetId="1" hidden="1">#REF!</definedName>
    <definedName name="BExQL4GJ3LZJL6JDEHT7UDXW90TV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1" hidden="1">[20]ZZCOOM_M03_Q004!#REF!</definedName>
    <definedName name="BExTUY9WNSJ91GV8CP0SKJTEIV82" hidden="1">[20]ZZCOOM_M03_Q004!#REF!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1" hidden="1">#REF!</definedName>
    <definedName name="BExUAMWQODKBXMRH1QCMJLJBF8M7" hidden="1">#REF!</definedName>
    <definedName name="BExUAPR6Y32097JKJCTGC4C6EGE9" localSheetId="1" hidden="1">#REF!</definedName>
    <definedName name="BExUAPR6Y32097JKJCTGC4C6EGE9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1" hidden="1">#REF!</definedName>
    <definedName name="BExW1U0JLKQ094DW5MMOI8UHO09V" hidden="1">#REF!</definedName>
    <definedName name="BExW1VNZHNB5P9V6232N0DQCE0WE" localSheetId="1" hidden="1">#REF!</definedName>
    <definedName name="BExW1VNZHNB5P9V6232N0DQCE0WE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1" hidden="1">#REF!</definedName>
    <definedName name="BExXO278QHQN8JDK5425EJ615ECC" hidden="1">#REF!</definedName>
    <definedName name="BExXO4QVV7YZ6L5A7WZEMIA5AZOV" localSheetId="1" hidden="1">#REF!</definedName>
    <definedName name="BExXO4QVV7YZ6L5A7WZEMIA5AZOV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1" hidden="1">#REF!</definedName>
    <definedName name="BExZSTNUWCRNCL22SMKXKFSLCJ0O" hidden="1">#REF!</definedName>
    <definedName name="BExZSYRA4NR7K6RLC3I81QSG5SQR" localSheetId="1" hidden="1">#REF!</definedName>
    <definedName name="BExZSYRA4NR7K6RLC3I81QSG5SQR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1" hidden="1">#REF!</definedName>
    <definedName name="BExZZZEMIIFKMLLV4DJKX5TB9R5V" hidden="1">#REF!</definedName>
    <definedName name="BOOK_LIFE">'[21]Lvl FCR'!$G$10</definedName>
    <definedName name="BottomRight" localSheetId="1">#REF!</definedName>
    <definedName name="BottomRight">#REF!</definedName>
    <definedName name="bpatoggle" localSheetId="1">#REF!</definedName>
    <definedName name="bpatoggle">#REF!</definedName>
    <definedName name="BPAX">[8]EXTERNAL!$A$121:$IV$123</definedName>
    <definedName name="BRI" localSheetId="1">#REF!</definedName>
    <definedName name="BRI">#REF!</definedName>
    <definedName name="BS_Accounts" localSheetId="1">#REF!</definedName>
    <definedName name="BS_Accounts">#REF!</definedName>
    <definedName name="Button_1">"TradeSummary_Ken_Finicle_List"</definedName>
    <definedName name="C_" localSheetId="1">'[1]Sched 46'!#REF!</definedName>
    <definedName name="C_">'[1]Sched 46'!#REF!</definedName>
    <definedName name="CAE.T">[8]INTERNAL!$A$34:$IV$36</definedName>
    <definedName name="CAES1.T">[8]INTERNAL!$A$37:$IV$39</definedName>
    <definedName name="Capacity" localSheetId="1">#REF!</definedName>
    <definedName name="Capacity">#REF!</definedName>
    <definedName name="capfact" localSheetId="1">#REF!</definedName>
    <definedName name="capfact">#REF!</definedName>
    <definedName name="CASE">[22]INPUTS!$C$8</definedName>
    <definedName name="CaseDescription">'[15]Dispatch Cases'!$C$11</definedName>
    <definedName name="CBWorkbookPriority" hidden="1">-2060790043</definedName>
    <definedName name="CCGT_HeatRate">[15]Assumptions!$H$23</definedName>
    <definedName name="CCGTPrice">[15]Assumptions!$H$22</definedName>
    <definedName name="cep_test" localSheetId="1">'[23]External Allocators'!#REF!</definedName>
    <definedName name="cep_test">'[23]External Allocators'!#REF!</definedName>
    <definedName name="cerarvm" localSheetId="1">#REF!</definedName>
    <definedName name="cerarvm">#REF!</definedName>
    <definedName name="CL_RT" localSheetId="1">#REF!</definedName>
    <definedName name="CL_RT">#REF!</definedName>
    <definedName name="CL_RT2">'[24]Transp Data'!$A$6:$C$81</definedName>
    <definedName name="Classification" localSheetId="1">'[25]Unbundled Costs'!#REF!</definedName>
    <definedName name="Classification">'[25]Unbundled Costs'!#REF!</definedName>
    <definedName name="clawback" localSheetId="1">#REF!</definedName>
    <definedName name="clawback">#REF!</definedName>
    <definedName name="close" localSheetId="1">#REF!</definedName>
    <definedName name="close">#REF!</definedName>
    <definedName name="cod" localSheetId="1">#REF!</definedName>
    <definedName name="cod">#REF!</definedName>
    <definedName name="COLHOUSE" localSheetId="1">[11]model!#REF!</definedName>
    <definedName name="COLHOUSE">[11]model!#REF!</definedName>
    <definedName name="COLXFER" localSheetId="1">[11]model!#REF!</definedName>
    <definedName name="COLXFER">[11]model!#REF!</definedName>
    <definedName name="CombWC_LineItem" localSheetId="1">#REF!</definedName>
    <definedName name="CombWC_LineItem">#REF!</definedName>
    <definedName name="COMMON_ADMIN_ALLOCATED" localSheetId="1">#REF!</definedName>
    <definedName name="COMMON_ADMIN_ALLOCATED">#REF!</definedName>
    <definedName name="COMPINSR" localSheetId="1">#REF!</definedName>
    <definedName name="COMPINSR">#REF!</definedName>
    <definedName name="CONSERV" localSheetId="1">#REF!</definedName>
    <definedName name="CONSERV">#REF!</definedName>
    <definedName name="constructcont" localSheetId="1">#REF!</definedName>
    <definedName name="constructcont">#REF!</definedName>
    <definedName name="Construction_OH">'[26]Virtual 49 Back-Up'!$E$54</definedName>
    <definedName name="Consv_Rdr_Rt" localSheetId="1">[27]Sch_120!#REF!</definedName>
    <definedName name="Consv_Rdr_Rt">[27]Sch_120!#REF!</definedName>
    <definedName name="cont" localSheetId="1">[14]Sheet2!#REF!</definedName>
    <definedName name="cont">[14]Sheet2!#REF!</definedName>
    <definedName name="ContractDate" localSheetId="1">'[28]Dispatch Cases'!#REF!</definedName>
    <definedName name="ContractDate">'[28]Dispatch Cases'!#REF!</definedName>
    <definedName name="Conv_Factor" localSheetId="1">[27]Sch_120!#REF!</definedName>
    <definedName name="Conv_Factor">[27]Sch_120!#REF!</definedName>
    <definedName name="ConversionFactor">[15]Assumptions!$I$65</definedName>
    <definedName name="CONVFACT" localSheetId="1">[11]model!#REF!</definedName>
    <definedName name="CONVFACT">[11]model!#REF!</definedName>
    <definedName name="costofequit" localSheetId="1">#REF!</definedName>
    <definedName name="costofequit">#REF!</definedName>
    <definedName name="CPI" localSheetId="1">#REF!</definedName>
    <definedName name="CPI">#REF!</definedName>
    <definedName name="cspe_wkly_vect_input" localSheetId="1">#REF!</definedName>
    <definedName name="cspe_wkly_vect_input">#REF!</definedName>
    <definedName name="CurrQtr">'[29]Inc Stmt'!$AJ$222</definedName>
    <definedName name="CUS">[8]CLASSIFIERS!$A$6:$IV$6</definedName>
    <definedName name="cust" localSheetId="1">#REF!</definedName>
    <definedName name="cust">#REF!</definedName>
    <definedName name="CUST_1">[8]EXTERNAL!$A$22:$IV$24</definedName>
    <definedName name="CUST_4">[8]EXTERNAL!$A$25:$IV$27</definedName>
    <definedName name="CUST_5">[8]EXTERNAL!$A$28:$IV$30</definedName>
    <definedName name="CUST_6">[8]EXTERNAL!$A$31:$IV$33</definedName>
    <definedName name="CUSTDEP" localSheetId="1">#REF!</definedName>
    <definedName name="CUSTDEP">#REF!</definedName>
    <definedName name="D108.05.T">[8]INTERNAL!$A$22:$IV$24</definedName>
    <definedName name="D108.10.T">[8]INTERNAL!$A$25:$IV$27</definedName>
    <definedName name="D361.T">[8]INTERNAL!$A$4:$IV$6</definedName>
    <definedName name="D362.T">[8]INTERNAL!$A$7:$IV$9</definedName>
    <definedName name="D364.T">[8]INTERNAL!$A$10:$IV$12</definedName>
    <definedName name="D366.T">[8]INTERNAL!$A$13:$IV$15</definedName>
    <definedName name="D368.T">[8]INTERNAL!$A$16:$IV$18</definedName>
    <definedName name="D370.T">[8]INTERNAL!$A$19:$IV$21</definedName>
    <definedName name="D372.T">[8]INTERNAL!$A$28:$IV$30</definedName>
    <definedName name="Data" localSheetId="1">#REF!</definedName>
    <definedName name="Data">#REF!</definedName>
    <definedName name="Data.Avg">'[29]Avg Amts'!$A$5:$BP$34</definedName>
    <definedName name="Data.Qtrs.Avg">'[29]Avg Amts'!$A$5:$IV$5</definedName>
    <definedName name="DATA1" localSheetId="1">#REF!</definedName>
    <definedName name="DATA1">#REF!</definedName>
    <definedName name="DATA2" localSheetId="1">#REF!</definedName>
    <definedName name="DATA2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veisroyescal" localSheetId="1">#REF!</definedName>
    <definedName name="daveisroyescal">#REF!</definedName>
    <definedName name="daviesroyprice" localSheetId="1">#REF!</definedName>
    <definedName name="daviesroyprice">#REF!</definedName>
    <definedName name="dc_461" localSheetId="1">'[1]Sched 46'!#REF!</definedName>
    <definedName name="dc_461">'[1]Sched 46'!#REF!</definedName>
    <definedName name="dc_462" localSheetId="1">'[1]Sched 46'!#REF!</definedName>
    <definedName name="dc_462">'[1]Sched 46'!#REF!</definedName>
    <definedName name="dc_49" localSheetId="1">'[1]Sched 46'!#REF!</definedName>
    <definedName name="dc_49">'[1]Sched 46'!#REF!</definedName>
    <definedName name="dc_491" localSheetId="1">'[1]Sched 46'!#REF!</definedName>
    <definedName name="dc_491">'[1]Sched 46'!#REF!</definedName>
    <definedName name="dc_492" localSheetId="1">'[1]Sched 46'!#REF!</definedName>
    <definedName name="dc_492">'[1]Sched 46'!#REF!</definedName>
    <definedName name="debtforce" localSheetId="1">#REF!</definedName>
    <definedName name="debtforce">#REF!</definedName>
    <definedName name="DebtPerc">[15]Assumptions!$I$58</definedName>
    <definedName name="Dec02AMA" localSheetId="1">[30]BS!#REF!</definedName>
    <definedName name="Dec02AMA">[30]BS!#REF!</definedName>
    <definedName name="Dec03AMA">[6]BS!$AJ$7:$AJ$3582</definedName>
    <definedName name="Dec04AMA">[2]BS!$AO$7:$AO$3582</definedName>
    <definedName name="Dec05AMA" localSheetId="1">#REF!</definedName>
    <definedName name="Dec05AMA">#REF!</definedName>
    <definedName name="Dec08AMA">[4]BS!$AJ$7:$AJ$1726</definedName>
    <definedName name="Dec09AMA">[4]BS!$AV$7:$AV$1726</definedName>
    <definedName name="Degree_Days" localSheetId="1">#REF!</definedName>
    <definedName name="Degree_Days">#REF!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hidden="1">{#N/A,#N/A,FALSE,"Coversheet";#N/A,#N/A,FALSE,"QA"}</definedName>
    <definedName name="DEM">[8]CLASSIFIERS!$A$4:$IV$4</definedName>
    <definedName name="DEM_1">[8]EXTERNAL!$A$7:$IV$9</definedName>
    <definedName name="DEM_12CP">[8]EXTERNAL!$A$118:$IV$120</definedName>
    <definedName name="DEM_12NCP_P">[8]EXTERNAL!$A$187:$IV$189</definedName>
    <definedName name="DEM_12NCP_S">[8]EXTERNAL!$A$190:$IV$192</definedName>
    <definedName name="DEM_12NCP1">[8]EXTERNAL!$A$139:$IV$141</definedName>
    <definedName name="DEM_12NCP2">[8]EXTERNAL!$A$130:$IV$132</definedName>
    <definedName name="DEM_1A">[8]EXTERNAL!$A$115:$IV$117</definedName>
    <definedName name="DEM_2A">[8]EXTERNAL!$A$148:$IV$150</definedName>
    <definedName name="DEM_3A">[8]EXTERNAL!$A$199:$IV$201</definedName>
    <definedName name="DEM_3B">[8]EXTERNAL!$A$196:$IV$198</definedName>
    <definedName name="DEMAND" localSheetId="1">'[1]Sched 46'!#REF!</definedName>
    <definedName name="DEMAND">'[1]Sched 46'!#REF!</definedName>
    <definedName name="Demands" localSheetId="1">#REF!</definedName>
    <definedName name="Demands">#REF!</definedName>
    <definedName name="DEPRECIATION" localSheetId="1">#REF!</definedName>
    <definedName name="DEPRECIATION">#REF!</definedName>
    <definedName name="DES1.T">[8]INTERNAL!$A$40:$IV$42</definedName>
    <definedName name="DES2.T">[8]INTERNAL!$A$43:$IV$45</definedName>
    <definedName name="devfee" localSheetId="1">#REF!</definedName>
    <definedName name="devfee">#REF!</definedName>
    <definedName name="DF_HeatRate">[15]Assumptions!$L$23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DIR_40">[8]EXTERNAL!$A$193:$IV$195</definedName>
    <definedName name="DIR_449">[8]EXTERNAL!$A$127:$IV$129</definedName>
    <definedName name="DIR_449_ENERGY">[8]EXTERNAL!$A$160:$IV$162</definedName>
    <definedName name="DIR_449_HV">[8]EXTERNAL!$A$157:$IV$159</definedName>
    <definedName name="DIR_449_OATT">[8]EXTERNAL!$A$166:$IV$168</definedName>
    <definedName name="DIR_RESALE">[8]EXTERNAL!$A$124:$IV$126</definedName>
    <definedName name="DIR_RESALE_LARGE">[8]EXTERNAL!$A$154:$IV$156</definedName>
    <definedName name="DIR_RESALE_SMALL">[8]EXTERNAL!$A$151:$IV$153</definedName>
    <definedName name="DIR108.09">[8]EXTERNAL!$A$106:$IV$108</definedName>
    <definedName name="DIR235.00">[8]EXTERNAL!$A$85:$IV$87</definedName>
    <definedName name="DIR360.01">[8]EXTERNAL!$A$37:$IV$39</definedName>
    <definedName name="DIR361.01">[8]EXTERNAL!$A$40:$IV$42</definedName>
    <definedName name="DIR362.01">[8]EXTERNAL!$A$43:$IV$45</definedName>
    <definedName name="DIR364.01">[8]EXTERNAL!$A$46:$IV$48</definedName>
    <definedName name="DIR366.01">[8]EXTERNAL!$A$49:$IV$51</definedName>
    <definedName name="DIR368.03">[8]EXTERNAL!$A$55:$IV$57</definedName>
    <definedName name="DIR368.03C">[8]EXTERNAL!$A$52:$IV$54</definedName>
    <definedName name="DIR372.00">[8]EXTERNAL!$A$58:$IV$60</definedName>
    <definedName name="DIR373.00">[8]EXTERNAL!$A$61:$IV$63</definedName>
    <definedName name="DIR450.01">[8]EXTERNAL!$A$10:$IV$12</definedName>
    <definedName name="DIR450.02">[8]EXTERNAL!$A$184:$IV$186</definedName>
    <definedName name="DIR451.02">[8]EXTERNAL!$A$70:$IV$72</definedName>
    <definedName name="DIR451.03">[8]EXTERNAL!$A$136:$IV$138</definedName>
    <definedName name="DIR451.05">[8]EXTERNAL!$A$76:$IV$78</definedName>
    <definedName name="DIR451.06">[8]EXTERNAL!$A$109:$IV$111</definedName>
    <definedName name="DIR451.07">[8]EXTERNAL!$A$133:$IV$135</definedName>
    <definedName name="DIR454.04">[8]EXTERNAL!$A$73:$IV$75</definedName>
    <definedName name="DIR556.01">[8]EXTERNAL!$A$175:$IV$177</definedName>
    <definedName name="DIR565.02">[8]EXTERNAL!$A$178:$IV$180</definedName>
    <definedName name="DIR908.01">[8]EXTERNAL!$A$172:$IV$174</definedName>
    <definedName name="DIR920.01">[8]EXTERNAL!$A$181:$IV$183</definedName>
    <definedName name="Disc" localSheetId="1">'[28]Debt Amortization'!#REF!</definedName>
    <definedName name="Disc">'[28]Debt Amortization'!#REF!</definedName>
    <definedName name="Discount_for_Revenue_Reqmt">'[31]Assumptions of Purchase'!$B$45</definedName>
    <definedName name="DOCKET" localSheetId="1">#REF!</definedName>
    <definedName name="DOCKET">#REF!</definedName>
    <definedName name="DocketNumber">'[32]JHS-19'!$AR$2</definedName>
    <definedName name="DP.T">[8]INTERNAL!$A$46:$IV$48</definedName>
    <definedName name="DurPTC" localSheetId="1">#REF!</definedName>
    <definedName name="DurPTC">#REF!</definedName>
    <definedName name="EBFIT.T">[8]INTERNAL!$A$88:$IV$90</definedName>
    <definedName name="ec_46s1" localSheetId="1">'[1]Sched 46'!#REF!</definedName>
    <definedName name="ec_46s1">'[1]Sched 46'!#REF!</definedName>
    <definedName name="ec_46s2" localSheetId="1">'[1]Sched 46'!#REF!</definedName>
    <definedName name="ec_46s2">'[1]Sched 46'!#REF!</definedName>
    <definedName name="ec_46w1" localSheetId="1">'[1]Sched 46'!#REF!</definedName>
    <definedName name="ec_46w1">'[1]Sched 46'!#REF!</definedName>
    <definedName name="ec_46w2" localSheetId="1">'[1]Sched 46'!#REF!</definedName>
    <definedName name="ec_46w2">'[1]Sched 46'!#REF!</definedName>
    <definedName name="ec_49s1" localSheetId="1">'[1]Sched 46'!#REF!</definedName>
    <definedName name="ec_49s1">'[1]Sched 46'!#REF!</definedName>
    <definedName name="ec_49s2" localSheetId="1">'[1]Sched 46'!#REF!</definedName>
    <definedName name="ec_49s2">'[1]Sched 46'!#REF!</definedName>
    <definedName name="ec_49w1" localSheetId="1">'[1]Sched 46'!#REF!</definedName>
    <definedName name="ec_49w1">'[1]Sched 46'!#REF!</definedName>
    <definedName name="ec_49w2" localSheetId="1">'[1]Sched 46'!#REF!</definedName>
    <definedName name="ec_49w2">'[1]Sched 46'!#REF!</definedName>
    <definedName name="ee" hidden="1">{#N/A,#N/A,FALSE,"Month ";#N/A,#N/A,FALSE,"YTD";#N/A,#N/A,FALSE,"12 mo ended"}</definedName>
    <definedName name="EffTax">[8]INPUTS!$F$31</definedName>
    <definedName name="Electp1" localSheetId="1">#REF!</definedName>
    <definedName name="Electp1">#REF!</definedName>
    <definedName name="Electp2" localSheetId="1">#REF!</definedName>
    <definedName name="Electp2">#REF!</definedName>
    <definedName name="Electric_Prices">'[33]Monthly Price Summary'!$B$4:$E$27</definedName>
    <definedName name="ElecWC_LineItems">[12]BS!$AO$7:$AO$3420</definedName>
    <definedName name="ElRBLine">[12]BS!$AP$7:$AP$3141</definedName>
    <definedName name="EMPLBENE" localSheetId="1">#REF!</definedName>
    <definedName name="EMPLBENE">#REF!</definedName>
    <definedName name="EndDate">[15]Assumptions!$C$11</definedName>
    <definedName name="endptcyr" localSheetId="1">#REF!</definedName>
    <definedName name="endptcyr">#REF!</definedName>
    <definedName name="energy" localSheetId="1">'[1]Sched 46'!#REF!</definedName>
    <definedName name="energy">'[1]Sched 46'!#REF!</definedName>
    <definedName name="ENERGY_1">[8]EXTERNAL!$A$4:$IV$6</definedName>
    <definedName name="ENERGY_2">[8]EXTERNAL!$A$145:$IV$147</definedName>
    <definedName name="enxco2005" localSheetId="1">#REF!</definedName>
    <definedName name="enxco2005">#REF!</definedName>
    <definedName name="enxcoescal" localSheetId="1">#REF!</definedName>
    <definedName name="enxcoescal">#REF!</definedName>
    <definedName name="enxcoownperc" localSheetId="1">#REF!</definedName>
    <definedName name="enxcoownperc">#REF!</definedName>
    <definedName name="epcfee" localSheetId="1">#REF!</definedName>
    <definedName name="epcfee">#REF!</definedName>
    <definedName name="EPIS.T">[8]INTERNAL!$A$49:$IV$51</definedName>
    <definedName name="equitperc" localSheetId="1">#REF!</definedName>
    <definedName name="equitperc">#REF!</definedName>
    <definedName name="error" hidden="1">{#N/A,#N/A,FALSE,"Coversheet";#N/A,#N/A,FALSE,"QA"}</definedName>
    <definedName name="Estimate" hidden="1">{#N/A,#N/A,FALSE,"Summ";#N/A,#N/A,FALSE,"General"}</definedName>
    <definedName name="estrateRES" localSheetId="1">#REF!</definedName>
    <definedName name="estrateRES">#REF!</definedName>
    <definedName name="ex" hidden="1">{#N/A,#N/A,FALSE,"Summ";#N/A,#N/A,FALSE,"General"}</definedName>
    <definedName name="Expected_Life" localSheetId="1">#REF!</definedName>
    <definedName name="Expected_Life">#REF!</definedName>
    <definedName name="FACTORS" localSheetId="1">#REF!</definedName>
    <definedName name="FACTORS">#REF!</definedName>
    <definedName name="FCR">'[26]Virtual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 localSheetId="1">'[17]BS C&amp;L'!#REF!</definedName>
    <definedName name="Feb03AMA">'[17]BS C&amp;L'!#REF!</definedName>
    <definedName name="Feb04AMA">[2]BS!$AE$7:$AE$3582</definedName>
    <definedName name="Feb05AMA" localSheetId="1">#REF!</definedName>
    <definedName name="Feb05AMA">#REF!</definedName>
    <definedName name="Feb09AMA">[4]BS!$AL$7:$AL$1725</definedName>
    <definedName name="Feb10AMA">[4]BS!$AX$7:$AX$1726</definedName>
    <definedName name="Fed_Cap_Tax">[34]Inputs!$E$112</definedName>
    <definedName name="FedTaxRate">[15]Assumptions!$C$33</definedName>
    <definedName name="FERCRATE" localSheetId="1">#REF!</definedName>
    <definedName name="FERCRATE">#REF!</definedName>
    <definedName name="FF" localSheetId="1">#REF!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 localSheetId="1">[11]model!#REF!</definedName>
    <definedName name="FIELDCHRG">[11]model!#REF!</definedName>
    <definedName name="Final" localSheetId="1">#REF!</definedName>
    <definedName name="Final">#REF!</definedName>
    <definedName name="firstptcyr" localSheetId="1">#REF!</definedName>
    <definedName name="firstptcyr">#REF!</definedName>
    <definedName name="firstyearmonths" localSheetId="1">#REF!</definedName>
    <definedName name="firstyearmonths">#REF!</definedName>
    <definedName name="FIT" localSheetId="1">#REF!</definedName>
    <definedName name="FIT">#REF!</definedName>
    <definedName name="fixedtrans" localSheetId="1">#REF!</definedName>
    <definedName name="fixedtrans">#REF!</definedName>
    <definedName name="fpldebt" localSheetId="1">#REF!</definedName>
    <definedName name="fpldebt">#REF!</definedName>
    <definedName name="FPLequit" localSheetId="1">#REF!</definedName>
    <definedName name="FPLequit">#REF!</definedName>
    <definedName name="FTAX">[8]INPUTS!$F$30</definedName>
    <definedName name="Fuel" localSheetId="1">#REF!</definedName>
    <definedName name="Fuel">#REF!</definedName>
    <definedName name="GasRBLine">[2]BS!$AS$7:$AS$3631</definedName>
    <definedName name="GasWC_LineItem">[2]BS!$AR$7:$AR$3631</definedName>
    <definedName name="GDPIP" localSheetId="1">#REF!</definedName>
    <definedName name="GDPIP">#REF!</definedName>
    <definedName name="GeoDate" localSheetId="1">'[28]Dispatch Cases'!#REF!</definedName>
    <definedName name="GeoDate">'[28]Dispatch Cases'!#REF!</definedName>
    <definedName name="GP.T">[8]INTERNAL!$A$52:$IV$54</definedName>
    <definedName name="gpdip" localSheetId="1">#REF!</definedName>
    <definedName name="gpdip">#REF!</definedName>
    <definedName name="graph" localSheetId="1">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owToChange" localSheetId="1">#REF!</definedName>
    <definedName name="howToChange">#REF!</definedName>
    <definedName name="howToCheck" localSheetId="1">#REF!</definedName>
    <definedName name="howToCheck">#REF!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 localSheetId="1">#REF!</definedName>
    <definedName name="HydroCap">#REF!</definedName>
    <definedName name="HydroGen" localSheetId="1">[28]Dispatch!#REF!</definedName>
    <definedName name="HydroGen">[28]Dispatch!#REF!</definedName>
    <definedName name="IBFIT.T">[8]INTERNAL!$A$85:$IV$87</definedName>
    <definedName name="IDCRATE" localSheetId="1">#REF!</definedName>
    <definedName name="IDCRATE">#REF!</definedName>
    <definedName name="inact" localSheetId="1">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1">#REF!</definedName>
    <definedName name="INCSTMNT">#REF!</definedName>
    <definedName name="INCSTMT" localSheetId="1">#REF!</definedName>
    <definedName name="INCSTMT">#REF!</definedName>
    <definedName name="inflat" localSheetId="1">#REF!</definedName>
    <definedName name="inflat">#REF!</definedName>
    <definedName name="inflatCERA" localSheetId="1">#REF!</definedName>
    <definedName name="inflatCERA">#REF!</definedName>
    <definedName name="InfoPane" localSheetId="1">#REF!</definedName>
    <definedName name="InfoPane">#REF!</definedName>
    <definedName name="InformationPane" localSheetId="1">#REF!</definedName>
    <definedName name="InformationPane">#REF!</definedName>
    <definedName name="InfpPane" localSheetId="1">#REF!</definedName>
    <definedName name="InfpPane">#REF!</definedName>
    <definedName name="INTRESEXCH">[35]Sheet1!$AG$1</definedName>
    <definedName name="INVPLAN" localSheetId="1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 localSheetId="1">'[17]BS C&amp;L'!#REF!</definedName>
    <definedName name="Jan03AMA">'[17]BS C&amp;L'!#REF!</definedName>
    <definedName name="Jan04AMA">[2]BS!$AD$7:$AD$3582</definedName>
    <definedName name="Jan05AMA" localSheetId="1">#REF!</definedName>
    <definedName name="Jan05AMA">#REF!</definedName>
    <definedName name="Jan06AMA" localSheetId="1">[7]BS!#REF!</definedName>
    <definedName name="Jan06AMA">[7]BS!#REF!</definedName>
    <definedName name="Jan09AMA">[4]BS!$AK$7:$AK$1743</definedName>
    <definedName name="Jan10AMA">[4]BS!$AW$7:$AW$1726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 localSheetId="1">'[17]BS C&amp;L'!#REF!</definedName>
    <definedName name="Jul03AMA">'[17]BS C&amp;L'!#REF!</definedName>
    <definedName name="Jul04AMA">[2]BS!$AJ$7:$AJ$3582</definedName>
    <definedName name="Jul05AMA" localSheetId="1">#REF!</definedName>
    <definedName name="Jul05AMA">#REF!</definedName>
    <definedName name="Jul09AMA">[4]BS!$AQ$7:$AQ$1726</definedName>
    <definedName name="julcf" localSheetId="1">#REF!</definedName>
    <definedName name="julcf">#REF!</definedName>
    <definedName name="julcost" localSheetId="1">#REF!</definedName>
    <definedName name="julcost">#REF!</definedName>
    <definedName name="Jun03AMA" localSheetId="1">'[17]BS C&amp;L'!#REF!</definedName>
    <definedName name="Jun03AMA">'[17]BS C&amp;L'!#REF!</definedName>
    <definedName name="Jun04AMA">[2]BS!$AI$7:$AI$3582</definedName>
    <definedName name="Jun05AMA" localSheetId="1">#REF!</definedName>
    <definedName name="Jun05AMA">#REF!</definedName>
    <definedName name="Jun09AMA">[4]BS!$AP$7:$AP$1726</definedName>
    <definedName name="Jun10AMA">[4]BS!$BB$7:$BB$1726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wh_grc06_tye0905" localSheetId="1">#REF!</definedName>
    <definedName name="Kwh_grc06_tye0905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">IF('Allocation of Proceeds'!Values_Entered,Header_Row+'Allocation of Proceeds'!Number_of_Payments,Header_Row)</definedName>
    <definedName name="Last_Row">IF([0]!Values_Entered,Header_Row+[0]!Number_of_Payments,Header_Row)</definedName>
    <definedName name="LATEPAY">[35]Sheet1!$E$3:$E$25</definedName>
    <definedName name="Lease_total" localSheetId="1">#REF!</definedName>
    <definedName name="Lease_total">#REF!</definedName>
    <definedName name="LINE.T">[8]INTERNAL!$A$55:$IV$57</definedName>
    <definedName name="Line_10" localSheetId="1">#REF!</definedName>
    <definedName name="Line_10">#REF!</definedName>
    <definedName name="Line_11" localSheetId="1">#REF!</definedName>
    <definedName name="Line_11">#REF!</definedName>
    <definedName name="Line_12" localSheetId="1">#REF!</definedName>
    <definedName name="Line_12">#REF!</definedName>
    <definedName name="line_14" localSheetId="1">#REF!</definedName>
    <definedName name="line_14">#REF!</definedName>
    <definedName name="Line_15" localSheetId="1">#REF!</definedName>
    <definedName name="Line_15">#REF!</definedName>
    <definedName name="Line_19" localSheetId="1">#REF!</definedName>
    <definedName name="Line_19">#REF!</definedName>
    <definedName name="Line_22" localSheetId="1">#REF!</definedName>
    <definedName name="Line_22">#REF!</definedName>
    <definedName name="Line_23" localSheetId="1">#REF!</definedName>
    <definedName name="Line_23">#REF!</definedName>
    <definedName name="Line_25" localSheetId="1">#REF!</definedName>
    <definedName name="Line_25">#REF!</definedName>
    <definedName name="Line_OH" localSheetId="1">#REF!</definedName>
    <definedName name="Line_OH">#REF!</definedName>
    <definedName name="LoadArray">'[36]Load Source Data'!$C$78:$X$89</definedName>
    <definedName name="LoadGrowthAdder" localSheetId="1">#REF!</definedName>
    <definedName name="LoadGrowthAdder">#REF!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" localSheetId="1">'[1]Sched 46'!#REF!</definedName>
    <definedName name="M">'[1]Sched 46'!#REF!</definedName>
    <definedName name="M9100F4" localSheetId="1">#REF!</definedName>
    <definedName name="M9100F4">#REF!</definedName>
    <definedName name="manutaxfit" localSheetId="1">#REF!</definedName>
    <definedName name="manutaxfit">#REF!</definedName>
    <definedName name="Mar03AMA" localSheetId="1">'[17]BS C&amp;L'!#REF!</definedName>
    <definedName name="Mar03AMA">'[17]BS C&amp;L'!#REF!</definedName>
    <definedName name="Mar04AMA">[2]BS!$AF$7:$AF$3582</definedName>
    <definedName name="Mar05AMA" localSheetId="1">#REF!</definedName>
    <definedName name="Mar05AMA">#REF!</definedName>
    <definedName name="MAR09AMA">[4]BS!$AM$7:$AM$1725</definedName>
    <definedName name="Mar10AMA">[4]BS!$AY$7:$AY$1726</definedName>
    <definedName name="May03AMA" localSheetId="1">'[17]BS C&amp;L'!#REF!</definedName>
    <definedName name="May03AMA">'[17]BS C&amp;L'!#REF!</definedName>
    <definedName name="May04AMA">[2]BS!$AH$7:$AH$3582</definedName>
    <definedName name="May05AMA" localSheetId="1">#REF!</definedName>
    <definedName name="May05AMA">#REF!</definedName>
    <definedName name="MAY09AMA">[4]BS!$AO$7:$AO$1726</definedName>
    <definedName name="May10AMA">[4]BS!$BA$7:$BA$1726</definedName>
    <definedName name="mcnarycost" localSheetId="1">#REF!</definedName>
    <definedName name="mcnarycost">#REF!</definedName>
    <definedName name="mcnarytoggle" localSheetId="1">#REF!</definedName>
    <definedName name="mcnarytoggle">#REF!</definedName>
    <definedName name="median_energy" localSheetId="1">#REF!</definedName>
    <definedName name="median_energy">#REF!</definedName>
    <definedName name="menu1_Button5_Click" localSheetId="1">[37]!menu1_Button5_Click</definedName>
    <definedName name="menu1_Button5_Click">[37]!menu1_Button5_Click</definedName>
    <definedName name="menu1_Button6_Click" localSheetId="1">[37]!menu1_Button6_Click</definedName>
    <definedName name="menu1_Button6_Click">[37]!menu1_Button6_Click</definedName>
    <definedName name="MERGER_COST">[35]Sheet1!$AF$3:$AJ$28</definedName>
    <definedName name="MERGERCOSTS" localSheetId="1">[38]model!#REF!</definedName>
    <definedName name="MERGERCOSTS">[38]model!#REF!</definedName>
    <definedName name="METER" localSheetId="1">'[1]Sched 46'!#REF!</definedName>
    <definedName name="METER">'[1]Sched 46'!#REF!</definedName>
    <definedName name="Miller" localSheetId="5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 localSheetId="1">#REF!</definedName>
    <definedName name="MISCELLANEOUS">#REF!</definedName>
    <definedName name="MonTotalDispatch" localSheetId="1">[28]Dispatch!#REF!</definedName>
    <definedName name="MonTotalDispatch">[28]Dispatch!#REF!</definedName>
    <definedName name="MT" localSheetId="1">#REF!</definedName>
    <definedName name="MT">#REF!</definedName>
    <definedName name="MTD_Format">[39]Mthly!$B$11:$D$11,[39]Mthly!$B$31:$D$31</definedName>
    <definedName name="MustRunGen" localSheetId="1">[28]Dispatch!#REF!</definedName>
    <definedName name="MustRunGen">[28]Dispatch!#REF!</definedName>
    <definedName name="Mwh" localSheetId="1">#REF!</definedName>
    <definedName name="Mwh">#REF!</definedName>
    <definedName name="name" localSheetId="1">[10]DT_A_DOL93!#REF!</definedName>
    <definedName name="name">[10]DT_A_DOL93!#REF!</definedName>
    <definedName name="nameplate" localSheetId="1">#REF!</definedName>
    <definedName name="nameplate">#REF!</definedName>
    <definedName name="NavPane" localSheetId="1">#REF!</definedName>
    <definedName name="NavPane">#REF!</definedName>
    <definedName name="NCP_360">[8]EXTERNAL!$A$13:$IV$15</definedName>
    <definedName name="NCP_361">[8]EXTERNAL!$A$16:$IV$18</definedName>
    <definedName name="NCP_362">[8]EXTERNAL!$A$19:$IV$21</definedName>
    <definedName name="new" hidden="1">{#N/A,#N/A,FALSE,"Summ";#N/A,#N/A,FALSE,"General"}</definedName>
    <definedName name="newname" localSheetId="1">[10]DT_A_DOL93!#REF!</definedName>
    <definedName name="newname">[10]DT_A_DOL93!#REF!</definedName>
    <definedName name="non_AURORA_lookup" localSheetId="1">#REF!</definedName>
    <definedName name="non_AURORA_lookup">#REF!</definedName>
    <definedName name="non_core_lookup" localSheetId="1">#REF!</definedName>
    <definedName name="non_core_lookup">#REF!</definedName>
    <definedName name="nonrefundtrans" localSheetId="1">#REF!</definedName>
    <definedName name="nonrefundtrans">#REF!</definedName>
    <definedName name="Nov03AMA">[6]BS!$AI$7:$AI$3582</definedName>
    <definedName name="Nov04AMA">[2]BS!$AN$7:$AN$3582</definedName>
    <definedName name="Nov05AMA" localSheetId="1">#REF!</definedName>
    <definedName name="Nov05AMA">#REF!</definedName>
    <definedName name="Nov09AMA">[4]BS!$AU$7:$AU$1726</definedName>
    <definedName name="novcf" localSheetId="1">#REF!</definedName>
    <definedName name="novcf">#REF!</definedName>
    <definedName name="novcost" localSheetId="1">#REF!</definedName>
    <definedName name="novcost">#REF!</definedName>
    <definedName name="NRG">[8]CLASSIFIERS!$A$5:$IV$5</definedName>
    <definedName name="Number_of_Payments" localSheetId="1">MATCH(0.01,End_Bal,-1)+1</definedName>
    <definedName name="Number_of_Payments">MATCH(0.01,End_Bal,-1)+1</definedName>
    <definedName name="numturbines" localSheetId="1">#REF!</definedName>
    <definedName name="numturbines">#REF!</definedName>
    <definedName name="numturbptc" localSheetId="1">#REF!</definedName>
    <definedName name="numturbptc">#REF!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NWSales_MWH" localSheetId="1">[10]DT_A_AMW93!#REF!</definedName>
    <definedName name="NWSales_MWH">[10]DT_A_AMW93!#REF!</definedName>
    <definedName name="O_M_Rate">'[26]Virtual 49 Back-Up'!$B$21</definedName>
    <definedName name="OBCLEASE">[35]Sheet1!$AF$4:$AI$23</definedName>
    <definedName name="Oct03AMA">[6]BS!$AH$7:$AH$3582</definedName>
    <definedName name="Oct04AMA">[2]BS!$AM$7:$AM$3582</definedName>
    <definedName name="Oct05AMA" localSheetId="1">#REF!</definedName>
    <definedName name="Oct05AMA">#REF!</definedName>
    <definedName name="Oct09AMA">[4]BS!$AT$7:$AT$1726</definedName>
    <definedName name="octcf" localSheetId="1">#REF!</definedName>
    <definedName name="octcf">#REF!</definedName>
    <definedName name="octcost" localSheetId="1">#REF!</definedName>
    <definedName name="octcost">#REF!</definedName>
    <definedName name="OH">[8]CLASSIFIERS!$A$8:$IV$8</definedName>
    <definedName name="OH_NCP">[8]EXTERNAL!$A$79:$IV$81</definedName>
    <definedName name="OH_SVC">[8]EXTERNAL!$A$142:$IV$144</definedName>
    <definedName name="OH_TFMR">[8]EXTERNAL!$A$97:$IV$99</definedName>
    <definedName name="OH_TFMRC">[8]EXTERNAL!$A$94:$IV$96</definedName>
    <definedName name="OMtoggle" localSheetId="1">#REF!</definedName>
    <definedName name="OMtoggle">#REF!</definedName>
    <definedName name="OP_Mo_Year1" localSheetId="1">#REF!</definedName>
    <definedName name="OP_Mo_Year1">#REF!</definedName>
    <definedName name="OPCONT" localSheetId="1">#REF!</definedName>
    <definedName name="OPCONT">#REF!</definedName>
    <definedName name="OPEXPPF" localSheetId="1">[40]model!#REF!</definedName>
    <definedName name="OPEXPPF">[40]model!#REF!</definedName>
    <definedName name="OPEXPRS" localSheetId="1">[11]model!#REF!</definedName>
    <definedName name="OPEXPRS">[11]model!#REF!</definedName>
    <definedName name="OthRCF">[22]INPUTS!$F$41</definedName>
    <definedName name="OthUnc">[8]INPUTS!$F$36</definedName>
    <definedName name="outlookdata">'[41]pivoted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1">#REF!</definedName>
    <definedName name="Page1">#REF!</definedName>
    <definedName name="Page2" localSheetId="1">#REF!</definedName>
    <definedName name="Page2">#REF!</definedName>
    <definedName name="parasitic" localSheetId="1">#REF!</definedName>
    <definedName name="parasitic">#REF!</definedName>
    <definedName name="parasiticprice" localSheetId="1">#REF!</definedName>
    <definedName name="parasiticprice">#REF!</definedName>
    <definedName name="peak_new_table">'[42]2008 Extreme Peaks - 080403'!$E$5:$AD$8</definedName>
    <definedName name="peak_table">'[42]Peaks-F01'!$C$5:$E$243</definedName>
    <definedName name="PEBBLE" localSheetId="1">[11]model!#REF!</definedName>
    <definedName name="PEBBLE">[11]model!#REF!</definedName>
    <definedName name="percdebtcov" localSheetId="1">#REF!</definedName>
    <definedName name="percdebtcov">#REF!</definedName>
    <definedName name="Percent_debt">[34]Inputs!$E$129</definedName>
    <definedName name="PERCENTAGES_CALCULATED" localSheetId="1">#REF!</definedName>
    <definedName name="PERCENTAGES_CALCULATED">#REF!</definedName>
    <definedName name="percpersonal" localSheetId="1">#REF!</definedName>
    <definedName name="percpersonal">#REF!</definedName>
    <definedName name="percreal" localSheetId="1">#REF!</definedName>
    <definedName name="percreal">#REF!</definedName>
    <definedName name="personalproptaxadjust" localSheetId="1">#REF!</definedName>
    <definedName name="personalproptaxadjust">#REF!</definedName>
    <definedName name="postclawdev" localSheetId="1">#REF!</definedName>
    <definedName name="postclawdev">#REF!</definedName>
    <definedName name="postclawdevshar" localSheetId="1">#REF!</definedName>
    <definedName name="postclawdevshar">#REF!</definedName>
    <definedName name="postclawtaxshar" localSheetId="1">#REF!</definedName>
    <definedName name="postclawtaxshar">#REF!</definedName>
    <definedName name="postclawtaxshare" localSheetId="1">#REF!</definedName>
    <definedName name="postclawtaxshare">#REF!</definedName>
    <definedName name="postpreftaxshar" localSheetId="1">#REF!</definedName>
    <definedName name="postpreftaxshar">#REF!</definedName>
    <definedName name="POWER.T">[8]INTERNAL!$A$58:$IV$60</definedName>
    <definedName name="PP.T">[8]INTERNAL!$A$61:$IV$63</definedName>
    <definedName name="ppl_wkly_vect_input" localSheetId="1">#REF!</definedName>
    <definedName name="ppl_wkly_vect_input">#REF!</definedName>
    <definedName name="preferredreturn" localSheetId="1">#REF!</definedName>
    <definedName name="preferredreturn">#REF!</definedName>
    <definedName name="presentvaluedate" localSheetId="1">#REF!</definedName>
    <definedName name="presentvaluedate">#REF!</definedName>
    <definedName name="pretaxdebt" localSheetId="1">#REF!</definedName>
    <definedName name="pretaxdebt">#REF!</definedName>
    <definedName name="PreTaxDebtCost">[15]Assumptions!$I$56</definedName>
    <definedName name="pretaxequit" localSheetId="1">#REF!</definedName>
    <definedName name="pretaxequit">#REF!</definedName>
    <definedName name="PreTaxWACC">[15]Assumptions!$I$62</definedName>
    <definedName name="PriceCaseTable" localSheetId="1">#REF!</definedName>
    <definedName name="PriceCaseTable">#REF!</definedName>
    <definedName name="Prices_Aurora">'[33]Monthly Price Summary'!$C$4:$H$63</definedName>
    <definedName name="PRINT" localSheetId="1">'[1]Sched 46'!#REF!</definedName>
    <definedName name="PRINT">'[1]Sched 46'!#REF!</definedName>
    <definedName name="_xlnm.Print_Area" localSheetId="3">'2014 Proposed Annual Impacts'!$A$1:$J$48</definedName>
    <definedName name="_xlnm.Print_Area" localSheetId="2">'2014 Rates'!$A$1:$E$46</definedName>
    <definedName name="_xlnm.Print_Area" localSheetId="7">'Delivered Loads by Tariff'!$A$1:$Q$170</definedName>
    <definedName name="_xlnm.Print_Area" localSheetId="4">'Estimated Proforma Base Revenue'!$A$1:$H$41</definedName>
    <definedName name="_xlnm.Print_Area" localSheetId="8">'F2013 Load Callib'!$A$1:$O$26</definedName>
    <definedName name="_xlnm.Print_Area" localSheetId="10">'F2013 Unbilled Change Callib'!$A$1:$J$21</definedName>
    <definedName name="_xlnm.Print_Area" localSheetId="5">'Sch 133 Lighting Credit'!$A$1:$N$148</definedName>
    <definedName name="_xlnm.Print_Area" localSheetId="6">'Typ Res Tot Elec'!$A$1:$F$54</definedName>
    <definedName name="Print_Area1" localSheetId="1">#REF!</definedName>
    <definedName name="Print_Area1">#REF!</definedName>
    <definedName name="_xlnm.Print_Titles" localSheetId="9">'F2013 Sch Sales Callib'!$A:$C</definedName>
    <definedName name="_xlnm.Print_Titles" localSheetId="5">'Sch 133 Lighting Credit'!$1:$5</definedName>
    <definedName name="_xlnm.Print_Titles">#REF!</definedName>
    <definedName name="PRO_FORMA" localSheetId="1">#REF!</definedName>
    <definedName name="PRO_FORMA">#REF!</definedName>
    <definedName name="PRODADJ" localSheetId="1">[11]model!#REF!</definedName>
    <definedName name="PRODADJ">[11]model!#REF!</definedName>
    <definedName name="Prodprop" localSheetId="1">#REF!</definedName>
    <definedName name="Prodprop">#REF!</definedName>
    <definedName name="Production_Factor" localSheetId="1">#REF!</definedName>
    <definedName name="Production_Factor">#REF!</definedName>
    <definedName name="PROFORMA">[8]EXTERNAL!$A$67:$IV$69</definedName>
    <definedName name="PROFORMA_RETAIL">[8]EXTERNAL!$A$91:$IV$93</definedName>
    <definedName name="PROFORMA_RETAIL_TAX">[8]EXTERNAL!$A$169:$IV$171</definedName>
    <definedName name="ProformaPrint" localSheetId="1">[43]Bremerton!#REF!</definedName>
    <definedName name="ProformaPrint">[43]Bremerton!#REF!</definedName>
    <definedName name="Projects">[44]Sheet1!$A$1147:$B$1887</definedName>
    <definedName name="ProposedPrint" localSheetId="1">[43]Bremerton!#REF!</definedName>
    <definedName name="ProposedPrint">[43]Bremerton!#REF!</definedName>
    <definedName name="PROPSALES" localSheetId="1">[11]model!#REF!</definedName>
    <definedName name="PROPSALES">[11]model!#REF!</definedName>
    <definedName name="proptaxdiscfactor" localSheetId="1">#REF!</definedName>
    <definedName name="proptaxdiscfactor">#REF!</definedName>
    <definedName name="proptaxrate" localSheetId="1">#REF!</definedName>
    <definedName name="proptaxrate">#REF!</definedName>
    <definedName name="Prov_Cap_Tax">[34]Inputs!$E$111</definedName>
    <definedName name="PSE">'[45]4.04'!$A$6</definedName>
    <definedName name="PSE_Pre_Tax_Equity_Rate">'[31]Assumptions of Purchase'!$B$42</definedName>
    <definedName name="PSEBPAshare" localSheetId="1">#REF!</definedName>
    <definedName name="PSEBPAshare">#REF!</definedName>
    <definedName name="pseownperc" localSheetId="1">#REF!</definedName>
    <definedName name="pseownperc">#REF!</definedName>
    <definedName name="PSEWACC" localSheetId="1">#REF!</definedName>
    <definedName name="PSEWACC">#REF!</definedName>
    <definedName name="PSPL" localSheetId="1">#REF!</definedName>
    <definedName name="PSPL">#REF!</definedName>
    <definedName name="PTC" localSheetId="1">#REF!</definedName>
    <definedName name="PTC">#REF!</definedName>
    <definedName name="ptceffective" localSheetId="1">#REF!</definedName>
    <definedName name="ptceffective">#REF!</definedName>
    <definedName name="PTCescal" localSheetId="1">#REF!</definedName>
    <definedName name="PTCescal">#REF!</definedName>
    <definedName name="ptcescalstart" localSheetId="1">#REF!</definedName>
    <definedName name="ptcescalstart">#REF!</definedName>
    <definedName name="PTDGP.T">[8]INTERNAL!$A$64:$IV$66</definedName>
    <definedName name="PTDP.T">[8]INTERNAL!$A$67:$IV$69</definedName>
    <definedName name="PWRCSTPF" localSheetId="1">[11]model!#REF!</definedName>
    <definedName name="PWRCSTPF">[11]model!#REF!</definedName>
    <definedName name="PWRCSTRS" localSheetId="1">#REF!</definedName>
    <definedName name="PWRCSTRS">#REF!</definedName>
    <definedName name="PWRCSTWP" localSheetId="1">[40]model!#REF!</definedName>
    <definedName name="PWRCSTWP">[40]model!#REF!</definedName>
    <definedName name="PWRCSTWR" localSheetId="1">[11]model!#REF!</definedName>
    <definedName name="PWRCSTWR">[11]model!#REF!</definedName>
    <definedName name="PXPACC1_ALL_MERGE" localSheetId="1">#REF!</definedName>
    <definedName name="PXPACC1_ALL_MERGE">#REF!</definedName>
    <definedName name="q" hidden="1">{#N/A,#N/A,FALSE,"Coversheet";#N/A,#N/A,FALSE,"QA"}</definedName>
    <definedName name="QA" localSheetId="1">[46]IPOA2002!#REF!</definedName>
    <definedName name="QA">[46]IPOA2002!#REF!</definedName>
    <definedName name="qqq" localSheetId="5" hidden="1">{#N/A,#N/A,FALSE,"schA"}</definedName>
    <definedName name="qqq" hidden="1">{#N/A,#N/A,FALSE,"schA"}</definedName>
    <definedName name="QTD_Format">[47]QTD!$B$11:$D$11,[47]QTD!$B$35:$D$35</definedName>
    <definedName name="RATE" localSheetId="1">#REF!</definedName>
    <definedName name="RATE">#REF!</definedName>
    <definedName name="RATE2">'[24]Transp Data'!$A$8:$I$112</definedName>
    <definedName name="RATEBASE" localSheetId="1">#REF!</definedName>
    <definedName name="RATEBASE">#REF!</definedName>
    <definedName name="RATEBASE_U95" localSheetId="1">#REF!</definedName>
    <definedName name="RATEBASE_U95">#REF!</definedName>
    <definedName name="RATECASE" localSheetId="1">[11]model!#REF!</definedName>
    <definedName name="RATECASE">[11]model!#REF!</definedName>
    <definedName name="RB.T">[8]INTERNAL!$A$70:$IV$72</definedName>
    <definedName name="RdSch_CY" localSheetId="1">'[48]INPUT TAB'!#REF!</definedName>
    <definedName name="RdSch_CY">'[48]INPUT TAB'!#REF!</definedName>
    <definedName name="RdSch_PY" localSheetId="1">'[48]INPUT TAB'!#REF!</definedName>
    <definedName name="RdSch_PY">'[48]INPUT TAB'!#REF!</definedName>
    <definedName name="RdSch_PY2" localSheetId="1">'[48]INPUT TAB'!#REF!</definedName>
    <definedName name="RdSch_PY2">'[48]INPUT TAB'!#REF!</definedName>
    <definedName name="reaccrual" localSheetId="1">[14]Sheet2!#REF!</definedName>
    <definedName name="reaccrual">[14]Sheet2!#REF!</definedName>
    <definedName name="Realization" localSheetId="1">#REF!</definedName>
    <definedName name="Realization">#REF!</definedName>
    <definedName name="realproptaxadjust" localSheetId="1">#REF!</definedName>
    <definedName name="realproptaxadjust">#REF!</definedName>
    <definedName name="REC" localSheetId="1">#REF!</definedName>
    <definedName name="REC">#REF!</definedName>
    <definedName name="regasset" localSheetId="1">#REF!</definedName>
    <definedName name="regasset">#REF!</definedName>
    <definedName name="resdebt" localSheetId="1">#REF!</definedName>
    <definedName name="resdebt">#REF!</definedName>
    <definedName name="resepcdevcost" localSheetId="1">#REF!</definedName>
    <definedName name="resepcdevcost">#REF!</definedName>
    <definedName name="RESequit" localSheetId="1">#REF!</definedName>
    <definedName name="RESequit">#REF!</definedName>
    <definedName name="RESID">[8]EXTERNAL!$A$88:$IV$90</definedName>
    <definedName name="resource_lookup">'[49]#REF'!$B$3:$C$112</definedName>
    <definedName name="ResRCF">[22]INPUTS!$F$39</definedName>
    <definedName name="RESTATING" localSheetId="1">#REF!</definedName>
    <definedName name="RESTATING">#REF!</definedName>
    <definedName name="Results" localSheetId="1">#REF!</definedName>
    <definedName name="Results">#REF!</definedName>
    <definedName name="ResUnc">[8]INPUTS!$F$34</definedName>
    <definedName name="retain" localSheetId="1">#REF!</definedName>
    <definedName name="retain">#REF!</definedName>
    <definedName name="RETIREPLAN" localSheetId="1">[11]model!#REF!</definedName>
    <definedName name="RETIREPLAN">[11]model!#REF!</definedName>
    <definedName name="REV" localSheetId="1">#REF!</definedName>
    <definedName name="REV">#REF!</definedName>
    <definedName name="REVADJ" localSheetId="1">#REF!</definedName>
    <definedName name="REVADJ">#REF!</definedName>
    <definedName name="Revenue" localSheetId="1">#REF!</definedName>
    <definedName name="Revenue">#REF!</definedName>
    <definedName name="REVFAC1.T">[8]INTERNAL!$A$73:$IV$75</definedName>
    <definedName name="REVREQ" localSheetId="1">#REF!</definedName>
    <definedName name="REVREQ">#REF!</definedName>
    <definedName name="ROD">[8]INPUTS!$F$25</definedName>
    <definedName name="ROE" localSheetId="1">[11]model!#REF!</definedName>
    <definedName name="ROE">[11]model!#REF!</definedName>
    <definedName name="ROR">[22]INPUTS!$F$24</definedName>
    <definedName name="royalty" localSheetId="1">#REF!</definedName>
    <definedName name="royalty">#REF!</definedName>
    <definedName name="royenergyprice" localSheetId="1">#REF!</definedName>
    <definedName name="royenergyprice">#REF!</definedName>
    <definedName name="royescal" localSheetId="1">#REF!</definedName>
    <definedName name="royescal">#REF!</definedName>
    <definedName name="roysched1perc" localSheetId="1">#REF!</definedName>
    <definedName name="roysched1perc">#REF!</definedName>
    <definedName name="roysched2perc" localSheetId="1">#REF!</definedName>
    <definedName name="roysched2perc">#REF!</definedName>
    <definedName name="SALESRESALEP" localSheetId="1">[40]model!#REF!</definedName>
    <definedName name="SALESRESALEP">[40]model!#REF!</definedName>
    <definedName name="SALESRESALER" localSheetId="1">[40]model!#REF!</definedName>
    <definedName name="SALESRESALER">[40]model!#REF!</definedName>
    <definedName name="salestax" localSheetId="1">#REF!</definedName>
    <definedName name="salestax">#REF!</definedName>
    <definedName name="SAPBEXhrIndnt" hidden="1">"Wide"</definedName>
    <definedName name="SAPsysID" hidden="1">"708C5W7SBKP804JT78WJ0JNKI"</definedName>
    <definedName name="SAPwbID" hidden="1">"ARS"</definedName>
    <definedName name="SBRCF">[22]INPUTS!$F$40</definedName>
    <definedName name="SbUnc">[8]INPUTS!$F$35</definedName>
    <definedName name="Sch194Rlfwd">'[50]Sch94 Rlfwd'!$B$11</definedName>
    <definedName name="schedtoggle" localSheetId="1">#REF!</definedName>
    <definedName name="schedtoggle">#REF!</definedName>
    <definedName name="sdlfhsdlhfkl" hidden="1">{#N/A,#N/A,FALSE,"Summ";#N/A,#N/A,FALSE,"General"}</definedName>
    <definedName name="SeatacPrint" localSheetId="1">[43]Bremerton!#REF!</definedName>
    <definedName name="SeatacPrint">[43]Bremerton!#REF!</definedName>
    <definedName name="SecSSW_MWH" localSheetId="1">[10]DT_A_AMW93!#REF!</definedName>
    <definedName name="SecSSW_MWH">[10]DT_A_AMW93!#REF!</definedName>
    <definedName name="Sep03AMA">[12]BS!$AN$7:$AN$3420</definedName>
    <definedName name="Sep04AMA">[2]BS!$AL$7:$AL$3582</definedName>
    <definedName name="Sep05AMA" localSheetId="1">#REF!</definedName>
    <definedName name="Sep05AMA">#REF!</definedName>
    <definedName name="Sep09AMA">[4]BS!$AS$7:$AS$1726</definedName>
    <definedName name="sepcf" localSheetId="1">#REF!</definedName>
    <definedName name="sepcf">#REF!</definedName>
    <definedName name="sepcost" localSheetId="1">#REF!</definedName>
    <definedName name="sepcost">#REF!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 localSheetId="1">[11]model!#REF!</definedName>
    <definedName name="SKAGIT">[11]model!#REF!</definedName>
    <definedName name="SLFINSURANCE" localSheetId="1">#REF!</definedName>
    <definedName name="SLFINSURANCE">#REF!</definedName>
    <definedName name="SolarDate" localSheetId="1">'[28]Dispatch Cases'!#REF!</definedName>
    <definedName name="SolarDate">'[28]Dispatch Cases'!#REF!</definedName>
    <definedName name="SPREAD" localSheetId="1">#REF!</definedName>
    <definedName name="SPREAD">#REF!</definedName>
    <definedName name="STAFFREDUC" localSheetId="1">[40]model!#REF!</definedName>
    <definedName name="STAFFREDUC">[40]model!#REF!</definedName>
    <definedName name="StartDate">[15]Assumptions!$C$9</definedName>
    <definedName name="stationserv" localSheetId="1">#REF!</definedName>
    <definedName name="stationserv">#REF!</definedName>
    <definedName name="STAX">[8]INPUTS!$F$29</definedName>
    <definedName name="STORM" localSheetId="1">#REF!</definedName>
    <definedName name="STORM">#REF!</definedName>
    <definedName name="SUMMARY" localSheetId="1">#REF!</definedName>
    <definedName name="SUMMARY">#REF!</definedName>
    <definedName name="SummaryPrint" localSheetId="1">[43]Bremerton!#REF!</definedName>
    <definedName name="SummaryPrint">[43]Bremerton!#REF!</definedName>
    <definedName name="SUMMER" localSheetId="1">[43]Bremerton!#REF!</definedName>
    <definedName name="SUMMER">[43]Bremerton!#REF!</definedName>
    <definedName name="supentit_in_wkly_vect_input" localSheetId="1">#REF!</definedName>
    <definedName name="supentit_in_wkly_vect_input">#REF!</definedName>
    <definedName name="supentit_out_wkly_vect_input" localSheetId="1">#REF!</definedName>
    <definedName name="supentit_out_wkly_vect_input">#REF!</definedName>
    <definedName name="SW.T">[8]INTERNAL!$A$76:$IV$78</definedName>
    <definedName name="SWPTD.T">[8]INTERNAL!$A$79:$IV$81</definedName>
    <definedName name="SWSales_MWH" localSheetId="1">[10]DT_A_AMW93!#REF!</definedName>
    <definedName name="SWSales_MWH">[10]DT_A_AMW93!#REF!</definedName>
    <definedName name="t" hidden="1">{#N/A,#N/A,FALSE,"CESTSUM";#N/A,#N/A,FALSE,"est sum A";#N/A,#N/A,FALSE,"est detail A"}</definedName>
    <definedName name="TAXCORPLIC" localSheetId="1">#REF!</definedName>
    <definedName name="TAXCORPLIC">#REF!</definedName>
    <definedName name="TAXENERGYP" localSheetId="1">[11]model!#REF!</definedName>
    <definedName name="TAXENERGYP">[11]model!#REF!</definedName>
    <definedName name="TAXENERGYR" localSheetId="1">[11]model!#REF!</definedName>
    <definedName name="TAXENERGYR">[11]model!#REF!</definedName>
    <definedName name="TAXEXCISE" localSheetId="1">#REF!</definedName>
    <definedName name="TAXEXCISE">#REF!</definedName>
    <definedName name="TAXFICA" localSheetId="1">[11]model!#REF!</definedName>
    <definedName name="TAXFICA">[11]model!#REF!</definedName>
    <definedName name="TAXFUT" localSheetId="1">[11]model!#REF!</definedName>
    <definedName name="TAXFUT">[11]model!#REF!</definedName>
    <definedName name="TAXINCOME" localSheetId="1">#REF!</definedName>
    <definedName name="TAXINCOME">#REF!</definedName>
    <definedName name="TAXMEDICARE" localSheetId="1">[11]model!#REF!</definedName>
    <definedName name="TAXMEDICARE">[11]model!#REF!</definedName>
    <definedName name="taxown" localSheetId="1">#REF!</definedName>
    <definedName name="taxown">#REF!</definedName>
    <definedName name="TAXPFINT" localSheetId="1">[11]model!#REF!</definedName>
    <definedName name="TAXPFINT">[11]model!#REF!</definedName>
    <definedName name="TAXPROPERTY" localSheetId="1">#REF!</definedName>
    <definedName name="TAXPROPERTY">#REF!</definedName>
    <definedName name="TAXSUT" localSheetId="1">[11]model!#REF!</definedName>
    <definedName name="TAXSUT">[11]model!#REF!</definedName>
    <definedName name="tbl_Master" localSheetId="1">#REF!</definedName>
    <definedName name="tbl_Master">#REF!</definedName>
    <definedName name="TDP.T">[8]INTERNAL!$A$82:$IV$84</definedName>
    <definedName name="tem" hidden="1">{#N/A,#N/A,FALSE,"Summ";#N/A,#N/A,FALSE,"General"}</definedName>
    <definedName name="tem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[35]Sheet1!$A$4:$E$40</definedName>
    <definedName name="TenaskaShare" localSheetId="1">[28]Dispatch!#REF!</definedName>
    <definedName name="TenaskaShare">[28]Dispatch!#REF!</definedName>
    <definedName name="Test" localSheetId="1">#REF!</definedName>
    <definedName name="Test">#REF!</definedName>
    <definedName name="TEST0" localSheetId="1">#REF!</definedName>
    <definedName name="TEST0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ESTYEAR" localSheetId="1">#REF!</definedName>
    <definedName name="TESTYEAR">#REF!</definedName>
    <definedName name="TFR">[8]CLASSIFIERS!$A$11:$IV$11</definedName>
    <definedName name="Therm_upload" localSheetId="1">#REF!</definedName>
    <definedName name="Therm_upload">#REF!</definedName>
    <definedName name="ThermalBookLife">[15]Assumptions!$C$25</definedName>
    <definedName name="therms" localSheetId="1">#REF!</definedName>
    <definedName name="therms">#REF!</definedName>
    <definedName name="thirdpartyIRR" localSheetId="1">#REF!</definedName>
    <definedName name="thirdpartyIRR">#REF!</definedName>
    <definedName name="Title">[15]Assumptions!$A$1</definedName>
    <definedName name="today" localSheetId="1">#REF!</definedName>
    <definedName name="today">#REF!</definedName>
    <definedName name="TopLeft" localSheetId="1">#REF!</definedName>
    <definedName name="TopLeft">#REF!</definedName>
    <definedName name="totaldebt" localSheetId="1">#REF!</definedName>
    <definedName name="totaldebt">#REF!</definedName>
    <definedName name="totalequit" localSheetId="1">#REF!</definedName>
    <definedName name="totalequit">#REF!</definedName>
    <definedName name="TP.T">[8]INTERNAL!$A$91:$IV$93</definedName>
    <definedName name="tr" hidden="1">{#N/A,#N/A,FALSE,"CESTSUM";#N/A,#N/A,FALSE,"est sum A";#N/A,#N/A,FALSE,"est detail A"}</definedName>
    <definedName name="TRADING_NET" localSheetId="1">[10]DT_A_DOL93!#REF!</definedName>
    <definedName name="TRADING_NET">[10]DT_A_DOL93!#REF!</definedName>
    <definedName name="tran_revenue" localSheetId="1">#REF!</definedName>
    <definedName name="tran_revenue">#REF!</definedName>
    <definedName name="trans_constraint_y_n" localSheetId="1">#REF!</definedName>
    <definedName name="trans_constraint_y_n">#REF!</definedName>
    <definedName name="transdb" localSheetId="1">#REF!</definedName>
    <definedName name="transdb">#REF!</definedName>
    <definedName name="Transfer" localSheetId="1" hidden="1">#REF!</definedName>
    <definedName name="Transfer" hidden="1">#REF!</definedName>
    <definedName name="Transfers" localSheetId="1" hidden="1">#REF!</definedName>
    <definedName name="Transfers" hidden="1">#REF!</definedName>
    <definedName name="turbinesize" localSheetId="1">#REF!</definedName>
    <definedName name="turbinesize">#REF!</definedName>
    <definedName name="twoyrswarranty" localSheetId="1">#REF!</definedName>
    <definedName name="twoyrswarranty">#REF!</definedName>
    <definedName name="u" hidden="1">{#N/A,#N/A,FALSE,"Summ";#N/A,#N/A,FALSE,"General"}</definedName>
    <definedName name="UBakerAvail" localSheetId="1">#REF!</definedName>
    <definedName name="UBakerAvail">#REF!</definedName>
    <definedName name="UG">[8]CLASSIFIERS!$A$9:$IV$9</definedName>
    <definedName name="UG_NCP">[8]EXTERNAL!$A$82:$IV$84</definedName>
    <definedName name="UG_TFMR">[8]EXTERNAL!$A$103:$IV$105</definedName>
    <definedName name="UG_TFMRC">[8]EXTERNAL!$A$100:$IV$102</definedName>
    <definedName name="UNBILLED">[8]EXTERNAL!$A$64:$IV$66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1">#REF!</definedName>
    <definedName name="UNITCOMPARE">#REF!</definedName>
    <definedName name="UNITCOSTS" localSheetId="1">#REF!</definedName>
    <definedName name="UNITCOSTS">#REF!</definedName>
    <definedName name="UTG" localSheetId="1">#REF!</definedName>
    <definedName name="UTG">#REF!</definedName>
    <definedName name="UTN" localSheetId="1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vartrans" localSheetId="1">#REF!</definedName>
    <definedName name="vartrans">#REF!</definedName>
    <definedName name="VOMEsc">[15]Assumptions!$C$21</definedName>
    <definedName name="w" hidden="1">{#N/A,#N/A,FALSE,"Schedule F";#N/A,#N/A,FALSE,"Schedule G"}</definedName>
    <definedName name="WACC">[15]Assumptions!$I$61</definedName>
    <definedName name="WAGES" localSheetId="1">[11]model!#REF!</definedName>
    <definedName name="WAGES">[11]model!#REF!</definedName>
    <definedName name="warrantyOM" localSheetId="1">#REF!</definedName>
    <definedName name="warrantyOM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horn_db" localSheetId="1">#REF!</definedName>
    <definedName name="whorn_db">#REF!</definedName>
    <definedName name="WindDate" localSheetId="1">'[28]Dispatch Cases'!#REF!</definedName>
    <definedName name="WindDate">'[28]Dispatch Cases'!#REF!</definedName>
    <definedName name="WINTER" localSheetId="1">[43]Bremerton!#REF!</definedName>
    <definedName name="WINTER">[43]Bremerton!#REF!</definedName>
    <definedName name="WORKSHTS" localSheetId="1">'[1]Sched 46'!#REF!</definedName>
    <definedName name="WORKSHTS">'[1]Sched 46'!#REF!</definedName>
    <definedName name="WRKCAP" localSheetId="1">[11]model!#REF!</definedName>
    <definedName name="WRKCAP">[11]model!#REF!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5" hidden="1">{#N/A,#N/A,FALSE,"schA"}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5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p_wkly_vect_input" localSheetId="1">#REF!</definedName>
    <definedName name="wwp_wkly_vect_input">#REF!</definedName>
    <definedName name="www" localSheetId="5" hidden="1">{#N/A,#N/A,FALSE,"schA"}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localSheetId="1">#REF!</definedName>
    <definedName name="xxx">#REF!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'[51]Revison Inputs'!$B$6</definedName>
    <definedName name="YTD_Format">[39]YTD!$B$13:$D$13,[39]YTD!$B$32:$D$32</definedName>
    <definedName name="yuf" hidden="1">{#N/A,#N/A,FALSE,"Summ";#N/A,#N/A,FALSE,"General"}</definedName>
    <definedName name="z" hidden="1">{#N/A,#N/A,FALSE,"Coversheet";#N/A,#N/A,FALSE,"QA"}</definedName>
    <definedName name="zilfpldebtperc" localSheetId="1">#REF!</definedName>
    <definedName name="zilfpldebtperc">#REF!</definedName>
    <definedName name="zilkhaepcdevcost" localSheetId="1">#REF!</definedName>
    <definedName name="zilkhaepcdevcost">#REF!</definedName>
    <definedName name="zilkhaownperc" localSheetId="1">#REF!</definedName>
    <definedName name="zilkhaownperc">#REF!</definedName>
  </definedNames>
  <calcPr calcId="145621" calcMode="manual" iterate="1" calcCompleted="0" calcOnSave="0"/>
  <fileRecoveryPr repairLoad="1"/>
</workbook>
</file>

<file path=xl/calcChain.xml><?xml version="1.0" encoding="utf-8"?>
<calcChain xmlns="http://schemas.openxmlformats.org/spreadsheetml/2006/main">
  <c r="C6" i="12" l="1"/>
  <c r="F23" i="12"/>
  <c r="G23" i="12" s="1"/>
  <c r="F16" i="12"/>
  <c r="G16" i="12" s="1"/>
  <c r="C42" i="12"/>
  <c r="C40" i="13"/>
  <c r="C38" i="12"/>
  <c r="C33" i="12"/>
  <c r="C29" i="12"/>
  <c r="C28" i="12"/>
  <c r="C27" i="12"/>
  <c r="C25" i="12"/>
  <c r="C21" i="12"/>
  <c r="C20" i="12"/>
  <c r="C19" i="12"/>
  <c r="C18" i="12"/>
  <c r="C14" i="12"/>
  <c r="C13" i="12"/>
  <c r="C12" i="12"/>
  <c r="C11" i="12"/>
  <c r="C9" i="12"/>
  <c r="D29" i="12"/>
  <c r="D21" i="12"/>
  <c r="D12" i="12"/>
  <c r="C27" i="13" l="1"/>
  <c r="C19" i="13"/>
  <c r="D38" i="12"/>
  <c r="C36" i="13"/>
  <c r="D33" i="12"/>
  <c r="D28" i="12"/>
  <c r="D27" i="12"/>
  <c r="D25" i="12"/>
  <c r="D20" i="12"/>
  <c r="D19" i="12"/>
  <c r="D18" i="12"/>
  <c r="D14" i="12"/>
  <c r="D13" i="12"/>
  <c r="D11" i="12"/>
  <c r="D9" i="12"/>
  <c r="C31" i="13"/>
  <c r="C26" i="13"/>
  <c r="C23" i="13"/>
  <c r="C25" i="13"/>
  <c r="C18" i="13"/>
  <c r="C17" i="13"/>
  <c r="C16" i="13"/>
  <c r="C12" i="13"/>
  <c r="C11" i="13"/>
  <c r="C10" i="13"/>
  <c r="C9" i="13"/>
  <c r="C7" i="13"/>
  <c r="C51" i="8" l="1"/>
  <c r="C40" i="8" l="1"/>
  <c r="D33" i="8"/>
  <c r="D40" i="8" s="1"/>
  <c r="M36" i="47" l="1"/>
  <c r="K36" i="47"/>
  <c r="I36" i="47"/>
  <c r="G36" i="47"/>
  <c r="E36" i="47"/>
  <c r="C36" i="47"/>
  <c r="C37" i="47" s="1"/>
  <c r="M28" i="47"/>
  <c r="K28" i="47"/>
  <c r="I28" i="47"/>
  <c r="G28" i="47"/>
  <c r="E28" i="47"/>
  <c r="C28" i="47"/>
  <c r="C29" i="47" s="1"/>
  <c r="M20" i="47"/>
  <c r="K20" i="47"/>
  <c r="I20" i="47"/>
  <c r="G20" i="47"/>
  <c r="E20" i="47"/>
  <c r="C20" i="47"/>
  <c r="C21" i="47" s="1"/>
  <c r="F10" i="47"/>
  <c r="E10" i="47"/>
  <c r="C9" i="47"/>
  <c r="D10" i="47"/>
  <c r="D11" i="47" s="1"/>
  <c r="D12" i="47" s="1"/>
  <c r="C22" i="47" s="1"/>
  <c r="A8" i="47"/>
  <c r="A9" i="47" s="1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43" i="47" s="1"/>
  <c r="A44" i="47" s="1"/>
  <c r="A45" i="47" s="1"/>
  <c r="A46" i="47" s="1"/>
  <c r="M47" i="46"/>
  <c r="L36" i="46"/>
  <c r="J36" i="46"/>
  <c r="H36" i="46"/>
  <c r="F36" i="46"/>
  <c r="D36" i="46"/>
  <c r="L28" i="46"/>
  <c r="J28" i="46"/>
  <c r="H28" i="46"/>
  <c r="F28" i="46"/>
  <c r="D28" i="46"/>
  <c r="L20" i="46"/>
  <c r="J20" i="46"/>
  <c r="H20" i="46"/>
  <c r="F20" i="46"/>
  <c r="D20" i="46"/>
  <c r="F10" i="46"/>
  <c r="E10" i="46"/>
  <c r="C9" i="46"/>
  <c r="A9" i="46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D10" i="46"/>
  <c r="C8" i="46"/>
  <c r="A8" i="46"/>
  <c r="C20" i="46" l="1"/>
  <c r="C21" i="46" s="1"/>
  <c r="E20" i="46"/>
  <c r="G20" i="46"/>
  <c r="I20" i="46"/>
  <c r="K20" i="46"/>
  <c r="M20" i="46"/>
  <c r="C28" i="46"/>
  <c r="C29" i="46" s="1"/>
  <c r="E28" i="46"/>
  <c r="G28" i="46"/>
  <c r="I28" i="46"/>
  <c r="K28" i="46"/>
  <c r="M28" i="46"/>
  <c r="C36" i="46"/>
  <c r="C37" i="46" s="1"/>
  <c r="E36" i="46"/>
  <c r="G36" i="46"/>
  <c r="I36" i="46"/>
  <c r="K36" i="46"/>
  <c r="M36" i="46"/>
  <c r="C8" i="47"/>
  <c r="C10" i="47" s="1"/>
  <c r="C11" i="47" s="1"/>
  <c r="E11" i="47"/>
  <c r="E12" i="47" s="1"/>
  <c r="C30" i="47" s="1"/>
  <c r="D20" i="47"/>
  <c r="D21" i="47" s="1"/>
  <c r="F20" i="47"/>
  <c r="H20" i="47"/>
  <c r="H21" i="47" s="1"/>
  <c r="H22" i="47" s="1"/>
  <c r="J20" i="47"/>
  <c r="L20" i="47"/>
  <c r="L21" i="47" s="1"/>
  <c r="L22" i="47" s="1"/>
  <c r="D28" i="47"/>
  <c r="D29" i="47" s="1"/>
  <c r="F28" i="47"/>
  <c r="F29" i="47" s="1"/>
  <c r="H28" i="47"/>
  <c r="J28" i="47"/>
  <c r="L28" i="47"/>
  <c r="D36" i="47"/>
  <c r="D37" i="47" s="1"/>
  <c r="F36" i="47"/>
  <c r="F37" i="47" s="1"/>
  <c r="H36" i="47"/>
  <c r="H37" i="47" s="1"/>
  <c r="J36" i="47"/>
  <c r="L36" i="47"/>
  <c r="L37" i="47" s="1"/>
  <c r="D22" i="47"/>
  <c r="E21" i="47"/>
  <c r="E22" i="47" s="1"/>
  <c r="G21" i="47"/>
  <c r="G22" i="47" s="1"/>
  <c r="I21" i="47"/>
  <c r="I22" i="47" s="1"/>
  <c r="K21" i="47"/>
  <c r="K22" i="47" s="1"/>
  <c r="M21" i="47"/>
  <c r="M22" i="47" s="1"/>
  <c r="D30" i="47"/>
  <c r="F21" i="47"/>
  <c r="F22" i="47" s="1"/>
  <c r="J21" i="47"/>
  <c r="J22" i="47" s="1"/>
  <c r="F11" i="47"/>
  <c r="F12" i="47" s="1"/>
  <c r="C38" i="47" s="1"/>
  <c r="E29" i="47"/>
  <c r="E30" i="47" s="1"/>
  <c r="G29" i="47"/>
  <c r="I29" i="47"/>
  <c r="I30" i="47" s="1"/>
  <c r="K29" i="47"/>
  <c r="M29" i="47"/>
  <c r="M30" i="47" s="1"/>
  <c r="E37" i="47"/>
  <c r="G37" i="47"/>
  <c r="I37" i="47"/>
  <c r="K37" i="47"/>
  <c r="M37" i="47"/>
  <c r="H29" i="47"/>
  <c r="H30" i="47" s="1"/>
  <c r="J29" i="47"/>
  <c r="L29" i="47"/>
  <c r="L30" i="47" s="1"/>
  <c r="J37" i="47"/>
  <c r="I21" i="46"/>
  <c r="K21" i="46"/>
  <c r="M21" i="46"/>
  <c r="D11" i="46"/>
  <c r="D12" i="46" s="1"/>
  <c r="C22" i="46" s="1"/>
  <c r="F11" i="46"/>
  <c r="F12" i="46" s="1"/>
  <c r="C38" i="46" s="1"/>
  <c r="G21" i="46"/>
  <c r="C10" i="46"/>
  <c r="C11" i="46" s="1"/>
  <c r="E11" i="46"/>
  <c r="E12" i="46" s="1"/>
  <c r="C30" i="46" s="1"/>
  <c r="D21" i="46"/>
  <c r="F21" i="46"/>
  <c r="H21" i="46"/>
  <c r="J21" i="46"/>
  <c r="L21" i="46"/>
  <c r="E29" i="46"/>
  <c r="G29" i="46"/>
  <c r="I29" i="46"/>
  <c r="K29" i="46"/>
  <c r="M29" i="46"/>
  <c r="E37" i="46"/>
  <c r="G37" i="46"/>
  <c r="I37" i="46"/>
  <c r="K37" i="46"/>
  <c r="M37" i="46"/>
  <c r="D29" i="46"/>
  <c r="F29" i="46"/>
  <c r="H29" i="46"/>
  <c r="J29" i="46"/>
  <c r="L29" i="46"/>
  <c r="D37" i="46"/>
  <c r="F37" i="46"/>
  <c r="H37" i="46"/>
  <c r="J37" i="46"/>
  <c r="L37" i="46"/>
  <c r="J30" i="47" l="1"/>
  <c r="K30" i="47"/>
  <c r="G30" i="47"/>
  <c r="F30" i="47"/>
  <c r="C40" i="46"/>
  <c r="E21" i="46"/>
  <c r="M38" i="47"/>
  <c r="M40" i="47" s="1"/>
  <c r="M42" i="47" s="1"/>
  <c r="K38" i="47"/>
  <c r="K40" i="47" s="1"/>
  <c r="I38" i="47"/>
  <c r="I40" i="47" s="1"/>
  <c r="G38" i="47"/>
  <c r="E38" i="47"/>
  <c r="L38" i="47"/>
  <c r="J38" i="47"/>
  <c r="J40" i="47" s="1"/>
  <c r="H38" i="47"/>
  <c r="F38" i="47"/>
  <c r="F40" i="47" s="1"/>
  <c r="D38" i="47"/>
  <c r="D40" i="47"/>
  <c r="L40" i="47"/>
  <c r="C40" i="47"/>
  <c r="H40" i="47"/>
  <c r="E40" i="47"/>
  <c r="L30" i="46"/>
  <c r="J30" i="46"/>
  <c r="H30" i="46"/>
  <c r="F30" i="46"/>
  <c r="D30" i="46"/>
  <c r="M30" i="46"/>
  <c r="K30" i="46"/>
  <c r="I30" i="46"/>
  <c r="G30" i="46"/>
  <c r="E30" i="46"/>
  <c r="M22" i="46"/>
  <c r="K22" i="46"/>
  <c r="I22" i="46"/>
  <c r="G22" i="46"/>
  <c r="E22" i="46"/>
  <c r="L22" i="46"/>
  <c r="J22" i="46"/>
  <c r="H22" i="46"/>
  <c r="F22" i="46"/>
  <c r="D22" i="46"/>
  <c r="M38" i="46"/>
  <c r="K38" i="46"/>
  <c r="I38" i="46"/>
  <c r="G38" i="46"/>
  <c r="E38" i="46"/>
  <c r="L38" i="46"/>
  <c r="J38" i="46"/>
  <c r="H38" i="46"/>
  <c r="F38" i="46"/>
  <c r="D38" i="46"/>
  <c r="G40" i="47" l="1"/>
  <c r="G42" i="47" s="1"/>
  <c r="E40" i="46"/>
  <c r="I40" i="46"/>
  <c r="M40" i="46"/>
  <c r="M42" i="46" s="1"/>
  <c r="G44" i="47"/>
  <c r="G45" i="47" s="1"/>
  <c r="G46" i="47" s="1"/>
  <c r="D11" i="13" s="1"/>
  <c r="E11" i="13" s="1"/>
  <c r="F44" i="47"/>
  <c r="F45" i="47" s="1"/>
  <c r="F42" i="47"/>
  <c r="F46" i="47"/>
  <c r="J44" i="47"/>
  <c r="J45" i="47" s="1"/>
  <c r="J46" i="47" s="1"/>
  <c r="J42" i="47"/>
  <c r="I44" i="47"/>
  <c r="I45" i="47" s="1"/>
  <c r="I46" i="47" s="1"/>
  <c r="D23" i="13" s="1"/>
  <c r="E23" i="13" s="1"/>
  <c r="I42" i="47"/>
  <c r="E44" i="47"/>
  <c r="E45" i="47" s="1"/>
  <c r="E46" i="47" s="1"/>
  <c r="D9" i="13" s="1"/>
  <c r="E9" i="13" s="1"/>
  <c r="E42" i="47"/>
  <c r="D44" i="47"/>
  <c r="D45" i="47" s="1"/>
  <c r="D42" i="47"/>
  <c r="D46" i="47"/>
  <c r="D7" i="13" s="1"/>
  <c r="K44" i="47"/>
  <c r="K45" i="47" s="1"/>
  <c r="K46" i="47" s="1"/>
  <c r="K42" i="47"/>
  <c r="H44" i="47"/>
  <c r="H45" i="47" s="1"/>
  <c r="H46" i="47" s="1"/>
  <c r="H42" i="47"/>
  <c r="L44" i="47"/>
  <c r="L45" i="47" s="1"/>
  <c r="L46" i="47" s="1"/>
  <c r="D31" i="13" s="1"/>
  <c r="E31" i="13" s="1"/>
  <c r="L42" i="47"/>
  <c r="D40" i="46"/>
  <c r="H40" i="46"/>
  <c r="E44" i="46"/>
  <c r="E45" i="46" s="1"/>
  <c r="E46" i="46" s="1"/>
  <c r="E47" i="46" s="1"/>
  <c r="E42" i="46"/>
  <c r="I44" i="46"/>
  <c r="I45" i="46" s="1"/>
  <c r="I46" i="46" s="1"/>
  <c r="I47" i="46" s="1"/>
  <c r="I42" i="46"/>
  <c r="F40" i="46"/>
  <c r="J40" i="46"/>
  <c r="G40" i="46"/>
  <c r="K40" i="46"/>
  <c r="L40" i="46"/>
  <c r="E7" i="13" l="1"/>
  <c r="C46" i="47"/>
  <c r="L44" i="46"/>
  <c r="L45" i="46" s="1"/>
  <c r="L42" i="46"/>
  <c r="L46" i="46"/>
  <c r="L47" i="46" s="1"/>
  <c r="G44" i="46"/>
  <c r="G45" i="46" s="1"/>
  <c r="G46" i="46" s="1"/>
  <c r="G47" i="46" s="1"/>
  <c r="G42" i="46"/>
  <c r="F44" i="46"/>
  <c r="F45" i="46" s="1"/>
  <c r="F42" i="46"/>
  <c r="F46" i="46"/>
  <c r="F47" i="46" s="1"/>
  <c r="D44" i="46"/>
  <c r="D45" i="46" s="1"/>
  <c r="D42" i="46"/>
  <c r="D46" i="46"/>
  <c r="K46" i="46"/>
  <c r="K47" i="46" s="1"/>
  <c r="K44" i="46"/>
  <c r="K45" i="46" s="1"/>
  <c r="K42" i="46"/>
  <c r="J44" i="46"/>
  <c r="J45" i="46" s="1"/>
  <c r="J42" i="46"/>
  <c r="J46" i="46"/>
  <c r="J47" i="46" s="1"/>
  <c r="H44" i="46"/>
  <c r="H45" i="46" s="1"/>
  <c r="H46" i="46" s="1"/>
  <c r="H47" i="46" s="1"/>
  <c r="H42" i="46"/>
  <c r="C46" i="46" l="1"/>
  <c r="D47" i="46"/>
  <c r="E18" i="32" l="1"/>
  <c r="E24" i="32"/>
  <c r="E31" i="32"/>
  <c r="F33" i="32"/>
  <c r="F39" i="32"/>
  <c r="F16" i="32"/>
  <c r="F23" i="32"/>
  <c r="F15" i="32"/>
  <c r="F17" i="32"/>
  <c r="F22" i="32"/>
  <c r="F26" i="32"/>
  <c r="F30" i="32"/>
  <c r="F35" i="32"/>
  <c r="F14" i="32"/>
  <c r="F21" i="32"/>
  <c r="F29" i="32"/>
  <c r="C43" i="8"/>
  <c r="C41" i="8"/>
  <c r="C30" i="8"/>
  <c r="E11" i="32" l="1"/>
  <c r="E37" i="32" s="1"/>
  <c r="E41" i="32" s="1"/>
  <c r="F10" i="32"/>
  <c r="M25" i="33"/>
  <c r="L25" i="33"/>
  <c r="K25" i="33"/>
  <c r="J25" i="33"/>
  <c r="I25" i="33"/>
  <c r="H25" i="33"/>
  <c r="G25" i="33"/>
  <c r="F25" i="33"/>
  <c r="E25" i="33"/>
  <c r="D25" i="33"/>
  <c r="C25" i="33"/>
  <c r="B25" i="33"/>
  <c r="M22" i="33"/>
  <c r="L22" i="33"/>
  <c r="K22" i="33"/>
  <c r="J22" i="33"/>
  <c r="I22" i="33"/>
  <c r="H22" i="33"/>
  <c r="G22" i="33"/>
  <c r="F22" i="33"/>
  <c r="E22" i="33"/>
  <c r="D22" i="33"/>
  <c r="C22" i="33"/>
  <c r="B22" i="33"/>
  <c r="N127" i="33"/>
  <c r="N126" i="33"/>
  <c r="M127" i="33"/>
  <c r="M126" i="33"/>
  <c r="L127" i="33"/>
  <c r="L126" i="33"/>
  <c r="K127" i="33"/>
  <c r="K126" i="33"/>
  <c r="J127" i="33"/>
  <c r="J126" i="33"/>
  <c r="I127" i="33"/>
  <c r="I126" i="33"/>
  <c r="H127" i="33"/>
  <c r="H126" i="33"/>
  <c r="G127" i="33"/>
  <c r="G126" i="33"/>
  <c r="F127" i="33"/>
  <c r="F126" i="33"/>
  <c r="E127" i="33"/>
  <c r="E126" i="33"/>
  <c r="D127" i="33"/>
  <c r="D126" i="33"/>
  <c r="C127" i="33"/>
  <c r="C126" i="33"/>
  <c r="N108" i="33"/>
  <c r="N107" i="33"/>
  <c r="N106" i="33"/>
  <c r="N105" i="33"/>
  <c r="N104" i="33"/>
  <c r="M108" i="33"/>
  <c r="M107" i="33"/>
  <c r="M106" i="33"/>
  <c r="M105" i="33"/>
  <c r="M104" i="33"/>
  <c r="L108" i="33"/>
  <c r="L107" i="33"/>
  <c r="L106" i="33"/>
  <c r="L105" i="33"/>
  <c r="L104" i="33"/>
  <c r="K108" i="33"/>
  <c r="K107" i="33"/>
  <c r="K106" i="33"/>
  <c r="K105" i="33"/>
  <c r="K104" i="33"/>
  <c r="J108" i="33"/>
  <c r="J107" i="33"/>
  <c r="J106" i="33"/>
  <c r="J105" i="33"/>
  <c r="J104" i="33"/>
  <c r="I108" i="33"/>
  <c r="I107" i="33"/>
  <c r="I106" i="33"/>
  <c r="I105" i="33"/>
  <c r="I104" i="33"/>
  <c r="H108" i="33"/>
  <c r="H107" i="33"/>
  <c r="H106" i="33"/>
  <c r="H105" i="33"/>
  <c r="H104" i="33"/>
  <c r="G108" i="33"/>
  <c r="G107" i="33"/>
  <c r="G106" i="33"/>
  <c r="G105" i="33"/>
  <c r="G104" i="33"/>
  <c r="F108" i="33"/>
  <c r="F107" i="33"/>
  <c r="F106" i="33"/>
  <c r="F105" i="33"/>
  <c r="F104" i="33"/>
  <c r="E108" i="33"/>
  <c r="E107" i="33"/>
  <c r="E106" i="33"/>
  <c r="E105" i="33"/>
  <c r="E104" i="33"/>
  <c r="D108" i="33"/>
  <c r="D107" i="33"/>
  <c r="D106" i="33"/>
  <c r="D105" i="33"/>
  <c r="D104" i="33"/>
  <c r="C108" i="33"/>
  <c r="C107" i="33"/>
  <c r="C106" i="33"/>
  <c r="C105" i="33"/>
  <c r="C104" i="33"/>
  <c r="N148" i="33"/>
  <c r="M148" i="33"/>
  <c r="L148" i="33"/>
  <c r="K148" i="33"/>
  <c r="J148" i="33"/>
  <c r="I148" i="33"/>
  <c r="H148" i="33"/>
  <c r="G148" i="33"/>
  <c r="F148" i="33"/>
  <c r="E148" i="33"/>
  <c r="D148" i="33"/>
  <c r="C148" i="33"/>
  <c r="O163" i="33"/>
  <c r="O162" i="33"/>
  <c r="O161" i="33"/>
  <c r="N163" i="33"/>
  <c r="N162" i="33"/>
  <c r="N161" i="33"/>
  <c r="M163" i="33"/>
  <c r="M162" i="33"/>
  <c r="M161" i="33"/>
  <c r="L163" i="33"/>
  <c r="L162" i="33"/>
  <c r="L161" i="33"/>
  <c r="K163" i="33"/>
  <c r="K162" i="33"/>
  <c r="K161" i="33"/>
  <c r="J163" i="33"/>
  <c r="J162" i="33"/>
  <c r="J161" i="33"/>
  <c r="I163" i="33"/>
  <c r="I162" i="33"/>
  <c r="I161" i="33"/>
  <c r="H163" i="33"/>
  <c r="H162" i="33"/>
  <c r="H161" i="33"/>
  <c r="G163" i="33"/>
  <c r="G162" i="33"/>
  <c r="F163" i="33"/>
  <c r="F162" i="33"/>
  <c r="F161" i="33"/>
  <c r="E163" i="33"/>
  <c r="E162" i="33"/>
  <c r="G161" i="33"/>
  <c r="E161" i="33"/>
  <c r="D163" i="33"/>
  <c r="D161" i="33"/>
  <c r="D162" i="33"/>
  <c r="N143" i="33"/>
  <c r="N141" i="33"/>
  <c r="N139" i="33"/>
  <c r="N138" i="33"/>
  <c r="N136" i="33"/>
  <c r="N135" i="33"/>
  <c r="N134" i="33"/>
  <c r="N133" i="33"/>
  <c r="N132" i="33"/>
  <c r="N131" i="33"/>
  <c r="N130" i="33"/>
  <c r="M143" i="33"/>
  <c r="M141" i="33"/>
  <c r="M139" i="33"/>
  <c r="M138" i="33"/>
  <c r="M136" i="33"/>
  <c r="M135" i="33"/>
  <c r="M134" i="33"/>
  <c r="M133" i="33"/>
  <c r="M132" i="33"/>
  <c r="M131" i="33"/>
  <c r="M130" i="33"/>
  <c r="L143" i="33"/>
  <c r="L141" i="33"/>
  <c r="L139" i="33"/>
  <c r="L138" i="33"/>
  <c r="L136" i="33"/>
  <c r="L135" i="33"/>
  <c r="L134" i="33"/>
  <c r="L133" i="33"/>
  <c r="L132" i="33"/>
  <c r="L131" i="33"/>
  <c r="L130" i="33"/>
  <c r="K143" i="33"/>
  <c r="K141" i="33"/>
  <c r="K139" i="33"/>
  <c r="K138" i="33"/>
  <c r="K136" i="33"/>
  <c r="K135" i="33"/>
  <c r="K134" i="33"/>
  <c r="K133" i="33"/>
  <c r="K132" i="33"/>
  <c r="K131" i="33"/>
  <c r="K130" i="33"/>
  <c r="J143" i="33"/>
  <c r="J141" i="33"/>
  <c r="J139" i="33"/>
  <c r="J138" i="33"/>
  <c r="J136" i="33"/>
  <c r="J135" i="33"/>
  <c r="J134" i="33"/>
  <c r="J133" i="33"/>
  <c r="J132" i="33"/>
  <c r="J131" i="33"/>
  <c r="J130" i="33"/>
  <c r="I143" i="33"/>
  <c r="I141" i="33"/>
  <c r="I139" i="33"/>
  <c r="I138" i="33"/>
  <c r="I136" i="33"/>
  <c r="I135" i="33"/>
  <c r="I134" i="33"/>
  <c r="I133" i="33"/>
  <c r="I132" i="33"/>
  <c r="I131" i="33"/>
  <c r="I130" i="33"/>
  <c r="H143" i="33"/>
  <c r="H141" i="33"/>
  <c r="H139" i="33"/>
  <c r="H138" i="33"/>
  <c r="H136" i="33"/>
  <c r="H135" i="33"/>
  <c r="H134" i="33"/>
  <c r="H133" i="33"/>
  <c r="H132" i="33"/>
  <c r="H131" i="33"/>
  <c r="H130" i="33"/>
  <c r="G143" i="33"/>
  <c r="G141" i="33"/>
  <c r="G139" i="33"/>
  <c r="G138" i="33"/>
  <c r="G136" i="33"/>
  <c r="G135" i="33"/>
  <c r="G134" i="33"/>
  <c r="G133" i="33"/>
  <c r="G132" i="33"/>
  <c r="G131" i="33"/>
  <c r="G130" i="33"/>
  <c r="F143" i="33"/>
  <c r="F141" i="33"/>
  <c r="F139" i="33"/>
  <c r="F138" i="33"/>
  <c r="F136" i="33"/>
  <c r="F135" i="33"/>
  <c r="F134" i="33"/>
  <c r="F133" i="33"/>
  <c r="F132" i="33"/>
  <c r="F131" i="33"/>
  <c r="F130" i="33"/>
  <c r="E143" i="33"/>
  <c r="E141" i="33"/>
  <c r="E139" i="33"/>
  <c r="E138" i="33"/>
  <c r="E136" i="33"/>
  <c r="E135" i="33"/>
  <c r="E134" i="33"/>
  <c r="E133" i="33"/>
  <c r="E132" i="33"/>
  <c r="E131" i="33"/>
  <c r="E130" i="33"/>
  <c r="D143" i="33"/>
  <c r="D141" i="33"/>
  <c r="D139" i="33"/>
  <c r="D138" i="33"/>
  <c r="D136" i="33"/>
  <c r="D135" i="33"/>
  <c r="D134" i="33"/>
  <c r="D133" i="33"/>
  <c r="D132" i="33"/>
  <c r="D131" i="33"/>
  <c r="D130" i="33"/>
  <c r="L144" i="33"/>
  <c r="J144" i="33"/>
  <c r="H144" i="33"/>
  <c r="F144" i="33"/>
  <c r="D144" i="33"/>
  <c r="N144" i="33"/>
  <c r="M144" i="33"/>
  <c r="K144" i="33"/>
  <c r="I144" i="33"/>
  <c r="G144" i="33"/>
  <c r="E144" i="33"/>
  <c r="N142" i="33"/>
  <c r="M142" i="33"/>
  <c r="L142" i="33"/>
  <c r="K142" i="33"/>
  <c r="J142" i="33"/>
  <c r="I142" i="33"/>
  <c r="H142" i="33"/>
  <c r="G142" i="33"/>
  <c r="F142" i="33"/>
  <c r="E142" i="33"/>
  <c r="D142" i="33"/>
  <c r="C143" i="33"/>
  <c r="C141" i="33"/>
  <c r="C139" i="33"/>
  <c r="C138" i="33"/>
  <c r="C136" i="33"/>
  <c r="C135" i="33"/>
  <c r="C134" i="33"/>
  <c r="C133" i="33"/>
  <c r="C132" i="33"/>
  <c r="C131" i="33"/>
  <c r="C130" i="33"/>
  <c r="N128" i="33"/>
  <c r="N125" i="33"/>
  <c r="N124" i="33"/>
  <c r="N123" i="33"/>
  <c r="N122" i="33"/>
  <c r="N121" i="33"/>
  <c r="N120" i="33"/>
  <c r="N119" i="33"/>
  <c r="N118" i="33"/>
  <c r="M128" i="33"/>
  <c r="M125" i="33"/>
  <c r="M124" i="33"/>
  <c r="M123" i="33"/>
  <c r="M122" i="33"/>
  <c r="M121" i="33"/>
  <c r="M120" i="33"/>
  <c r="M119" i="33"/>
  <c r="M118" i="33"/>
  <c r="L128" i="33"/>
  <c r="L125" i="33"/>
  <c r="L124" i="33"/>
  <c r="L123" i="33"/>
  <c r="L122" i="33"/>
  <c r="L121" i="33"/>
  <c r="L120" i="33"/>
  <c r="L119" i="33"/>
  <c r="L118" i="33"/>
  <c r="K128" i="33"/>
  <c r="K125" i="33"/>
  <c r="K124" i="33"/>
  <c r="K123" i="33"/>
  <c r="K122" i="33"/>
  <c r="K121" i="33"/>
  <c r="K120" i="33"/>
  <c r="K119" i="33"/>
  <c r="K118" i="33"/>
  <c r="J128" i="33"/>
  <c r="J125" i="33"/>
  <c r="J124" i="33"/>
  <c r="J123" i="33"/>
  <c r="J122" i="33"/>
  <c r="J121" i="33"/>
  <c r="J120" i="33"/>
  <c r="J119" i="33"/>
  <c r="J118" i="33"/>
  <c r="I128" i="33"/>
  <c r="I125" i="33"/>
  <c r="I124" i="33"/>
  <c r="I123" i="33"/>
  <c r="I122" i="33"/>
  <c r="I121" i="33"/>
  <c r="I120" i="33"/>
  <c r="I119" i="33"/>
  <c r="I118" i="33"/>
  <c r="H128" i="33"/>
  <c r="H125" i="33"/>
  <c r="H124" i="33"/>
  <c r="H123" i="33"/>
  <c r="H122" i="33"/>
  <c r="H121" i="33"/>
  <c r="H120" i="33"/>
  <c r="H119" i="33"/>
  <c r="H118" i="33"/>
  <c r="G128" i="33"/>
  <c r="G125" i="33"/>
  <c r="G124" i="33"/>
  <c r="G123" i="33"/>
  <c r="G122" i="33"/>
  <c r="G121" i="33"/>
  <c r="G120" i="33"/>
  <c r="G119" i="33"/>
  <c r="G118" i="33"/>
  <c r="F128" i="33"/>
  <c r="F125" i="33"/>
  <c r="F124" i="33"/>
  <c r="F123" i="33"/>
  <c r="F122" i="33"/>
  <c r="F121" i="33"/>
  <c r="F120" i="33"/>
  <c r="F119" i="33"/>
  <c r="F118" i="33"/>
  <c r="E128" i="33"/>
  <c r="E125" i="33"/>
  <c r="E124" i="33"/>
  <c r="E123" i="33"/>
  <c r="E122" i="33"/>
  <c r="E121" i="33"/>
  <c r="E120" i="33"/>
  <c r="E119" i="33"/>
  <c r="E118" i="33"/>
  <c r="D128" i="33"/>
  <c r="D125" i="33"/>
  <c r="D124" i="33"/>
  <c r="D123" i="33"/>
  <c r="D122" i="33"/>
  <c r="D121" i="33"/>
  <c r="D120" i="33"/>
  <c r="D119" i="33"/>
  <c r="D118" i="33"/>
  <c r="C122" i="33"/>
  <c r="C121" i="33"/>
  <c r="C120" i="33"/>
  <c r="C128" i="33"/>
  <c r="C125" i="33"/>
  <c r="C124" i="33"/>
  <c r="C123" i="33"/>
  <c r="C119" i="33"/>
  <c r="C118" i="33"/>
  <c r="J20" i="43"/>
  <c r="J24" i="42" s="1"/>
  <c r="I20" i="43"/>
  <c r="H20" i="43"/>
  <c r="G20" i="43"/>
  <c r="F20" i="43"/>
  <c r="E20" i="43"/>
  <c r="O21" i="42"/>
  <c r="N21" i="42"/>
  <c r="M21" i="42"/>
  <c r="L21" i="42"/>
  <c r="K21" i="42"/>
  <c r="J21" i="42"/>
  <c r="I21" i="42"/>
  <c r="H21" i="42"/>
  <c r="G21" i="42"/>
  <c r="F21" i="42"/>
  <c r="E21" i="42"/>
  <c r="BJ21" i="41" l="1"/>
  <c r="BH21" i="41"/>
  <c r="BF21" i="41"/>
  <c r="BE21" i="41"/>
  <c r="BD21" i="41"/>
  <c r="BB21" i="41"/>
  <c r="J23" i="42" s="1"/>
  <c r="J25" i="42" s="1"/>
  <c r="J26" i="42" s="1"/>
  <c r="AZ21" i="41"/>
  <c r="AX21" i="41"/>
  <c r="AV21" i="41"/>
  <c r="AU21" i="41"/>
  <c r="AT21" i="41"/>
  <c r="AS21" i="41"/>
  <c r="AR21" i="41"/>
  <c r="AQ21" i="41"/>
  <c r="AP21" i="41"/>
  <c r="AO21" i="41"/>
  <c r="AN21" i="41"/>
  <c r="AL21" i="41"/>
  <c r="AJ21" i="41"/>
  <c r="AI21" i="41"/>
  <c r="AH21" i="41"/>
  <c r="AG21" i="41"/>
  <c r="AF21" i="41"/>
  <c r="AE21" i="41"/>
  <c r="AD21" i="41"/>
  <c r="AB21" i="41"/>
  <c r="Z21" i="41"/>
  <c r="Y21" i="41"/>
  <c r="X21" i="41"/>
  <c r="W21" i="41"/>
  <c r="V21" i="41"/>
  <c r="U21" i="41"/>
  <c r="T21" i="41"/>
  <c r="S21" i="41"/>
  <c r="R21" i="41"/>
  <c r="Q21" i="41"/>
  <c r="P21" i="41"/>
  <c r="O21" i="41"/>
  <c r="N21" i="41"/>
  <c r="M21" i="41"/>
  <c r="L21" i="41"/>
  <c r="K21" i="41"/>
  <c r="J21" i="41"/>
  <c r="I21" i="41"/>
  <c r="G21" i="41"/>
  <c r="E21" i="41"/>
  <c r="D21" i="41"/>
  <c r="N116" i="33"/>
  <c r="M116" i="33"/>
  <c r="L116" i="33"/>
  <c r="K116" i="33"/>
  <c r="J116" i="33"/>
  <c r="I116" i="33"/>
  <c r="H116" i="33"/>
  <c r="G116" i="33"/>
  <c r="F116" i="33"/>
  <c r="E116" i="33"/>
  <c r="D116" i="33"/>
  <c r="C116" i="33"/>
  <c r="P168" i="33"/>
  <c r="P167" i="33"/>
  <c r="L169" i="33"/>
  <c r="K169" i="33"/>
  <c r="J169" i="33"/>
  <c r="I169" i="33"/>
  <c r="H169" i="33"/>
  <c r="G169" i="33"/>
  <c r="F169" i="33"/>
  <c r="E169" i="33"/>
  <c r="D169" i="33"/>
  <c r="O169" i="33"/>
  <c r="N169" i="33"/>
  <c r="M169" i="33"/>
  <c r="O156" i="33"/>
  <c r="N156" i="33"/>
  <c r="M156" i="33"/>
  <c r="L156" i="33"/>
  <c r="K156" i="33"/>
  <c r="J156" i="33"/>
  <c r="I156" i="33"/>
  <c r="H156" i="33"/>
  <c r="G156" i="33"/>
  <c r="F156" i="33"/>
  <c r="E156" i="33"/>
  <c r="O164" i="33"/>
  <c r="M164" i="33"/>
  <c r="K164" i="33"/>
  <c r="I164" i="33"/>
  <c r="G164" i="33"/>
  <c r="E164" i="33"/>
  <c r="F164" i="33" l="1"/>
  <c r="H164" i="33"/>
  <c r="J164" i="33"/>
  <c r="L164" i="33"/>
  <c r="N164" i="33"/>
  <c r="P161" i="33"/>
  <c r="P163" i="33"/>
  <c r="D156" i="33"/>
  <c r="P162" i="33"/>
  <c r="D164" i="33"/>
  <c r="P164" i="33" l="1"/>
  <c r="C37" i="8" l="1"/>
  <c r="C44" i="8"/>
  <c r="C7" i="8" l="1"/>
  <c r="D36" i="8" l="1"/>
  <c r="D43" i="8" s="1"/>
  <c r="D42" i="8"/>
  <c r="D35" i="8"/>
  <c r="D29" i="8"/>
  <c r="D34" i="8"/>
  <c r="D41" i="8" s="1"/>
  <c r="D11" i="32" l="1"/>
  <c r="D24" i="32" l="1"/>
  <c r="D31" i="32"/>
  <c r="D18" i="32"/>
  <c r="D37" i="32" l="1"/>
  <c r="D41" i="32" s="1"/>
  <c r="C144" i="33" l="1"/>
  <c r="C142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N129" i="33"/>
  <c r="M129" i="33"/>
  <c r="L129" i="33"/>
  <c r="K129" i="33"/>
  <c r="J129" i="33"/>
  <c r="I129" i="33"/>
  <c r="H129" i="33"/>
  <c r="G129" i="33"/>
  <c r="F129" i="33"/>
  <c r="E129" i="33"/>
  <c r="D129" i="33"/>
  <c r="C129" i="33"/>
  <c r="N117" i="33"/>
  <c r="M117" i="33"/>
  <c r="L117" i="33"/>
  <c r="K117" i="33"/>
  <c r="J117" i="33"/>
  <c r="I117" i="33"/>
  <c r="H117" i="33"/>
  <c r="G117" i="33"/>
  <c r="F117" i="33"/>
  <c r="E117" i="33"/>
  <c r="D117" i="33"/>
  <c r="C117" i="33"/>
  <c r="C79" i="33" l="1"/>
  <c r="C77" i="33"/>
  <c r="C80" i="33"/>
  <c r="C78" i="33"/>
  <c r="N115" i="33"/>
  <c r="M115" i="33"/>
  <c r="L115" i="33"/>
  <c r="K115" i="33"/>
  <c r="J115" i="33"/>
  <c r="I115" i="33"/>
  <c r="H115" i="33"/>
  <c r="G115" i="33"/>
  <c r="F115" i="33"/>
  <c r="E115" i="33"/>
  <c r="D115" i="33"/>
  <c r="C115" i="33"/>
  <c r="N68" i="33"/>
  <c r="M68" i="33"/>
  <c r="L68" i="33"/>
  <c r="K68" i="33"/>
  <c r="J68" i="33"/>
  <c r="I68" i="33"/>
  <c r="H68" i="33"/>
  <c r="G68" i="33"/>
  <c r="F68" i="33"/>
  <c r="E68" i="33"/>
  <c r="D68" i="33"/>
  <c r="C68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A138" i="38" l="1"/>
  <c r="A137" i="38"/>
  <c r="A136" i="38"/>
  <c r="A135" i="38"/>
  <c r="A134" i="38"/>
  <c r="A133" i="38"/>
  <c r="A132" i="38"/>
  <c r="A131" i="38"/>
  <c r="A130" i="38"/>
  <c r="A129" i="38"/>
  <c r="A128" i="38"/>
  <c r="A127" i="38"/>
  <c r="A126" i="38"/>
  <c r="A125" i="38"/>
  <c r="A124" i="38"/>
  <c r="A123" i="38"/>
  <c r="A122" i="38"/>
  <c r="A121" i="38"/>
  <c r="A120" i="38"/>
  <c r="A119" i="38"/>
  <c r="A118" i="38"/>
  <c r="A117" i="38"/>
  <c r="A116" i="38"/>
  <c r="A115" i="38"/>
  <c r="A114" i="38"/>
  <c r="A113" i="38"/>
  <c r="A112" i="38"/>
  <c r="A111" i="38"/>
  <c r="A110" i="38"/>
  <c r="A109" i="38"/>
  <c r="A108" i="38"/>
  <c r="A107" i="38"/>
  <c r="A106" i="38"/>
  <c r="A105" i="38"/>
  <c r="A104" i="38"/>
  <c r="A103" i="38"/>
  <c r="A102" i="38"/>
  <c r="A101" i="38"/>
  <c r="A100" i="38"/>
  <c r="A99" i="38"/>
  <c r="A98" i="38"/>
  <c r="A97" i="38"/>
  <c r="A96" i="38"/>
  <c r="A95" i="38"/>
  <c r="A94" i="38"/>
  <c r="A93" i="38"/>
  <c r="A92" i="38"/>
  <c r="A91" i="38"/>
  <c r="A90" i="38"/>
  <c r="A89" i="38"/>
  <c r="A88" i="38"/>
  <c r="A87" i="38"/>
  <c r="A86" i="38"/>
  <c r="A85" i="38"/>
  <c r="A84" i="38"/>
  <c r="A83" i="38"/>
  <c r="A82" i="38"/>
  <c r="A81" i="38"/>
  <c r="A80" i="38"/>
  <c r="A79" i="38"/>
  <c r="A78" i="38"/>
  <c r="A77" i="38"/>
  <c r="A76" i="38"/>
  <c r="A75" i="38"/>
  <c r="A74" i="38"/>
  <c r="A73" i="38"/>
  <c r="A72" i="38"/>
  <c r="A71" i="38"/>
  <c r="A70" i="38"/>
  <c r="A69" i="38"/>
  <c r="A68" i="38"/>
  <c r="A67" i="38"/>
  <c r="A66" i="38"/>
  <c r="A65" i="38"/>
  <c r="A64" i="38"/>
  <c r="A63" i="38"/>
  <c r="A62" i="38"/>
  <c r="A61" i="38"/>
  <c r="A60" i="38"/>
  <c r="A59" i="38"/>
  <c r="A58" i="38"/>
  <c r="A57" i="38"/>
  <c r="A56" i="38"/>
  <c r="A55" i="38"/>
  <c r="A54" i="38"/>
  <c r="A53" i="38"/>
  <c r="A52" i="38"/>
  <c r="A51" i="38"/>
  <c r="A50" i="38"/>
  <c r="A49" i="38"/>
  <c r="A48" i="38"/>
  <c r="A47" i="38"/>
  <c r="A46" i="38"/>
  <c r="A45" i="38"/>
  <c r="A44" i="38"/>
  <c r="A43" i="38"/>
  <c r="A42" i="38"/>
  <c r="A41" i="38"/>
  <c r="A40" i="38"/>
  <c r="A39" i="38"/>
  <c r="A38" i="38"/>
  <c r="A37" i="38"/>
  <c r="A36" i="38"/>
  <c r="A35" i="38"/>
  <c r="A34" i="38"/>
  <c r="A33" i="38"/>
  <c r="A32" i="38"/>
  <c r="A31" i="38"/>
  <c r="A30" i="38"/>
  <c r="A29" i="38"/>
  <c r="A28" i="38"/>
  <c r="A27" i="38"/>
  <c r="A26" i="38"/>
  <c r="A25" i="38"/>
  <c r="A24" i="38"/>
  <c r="A23" i="38"/>
  <c r="A22" i="38"/>
  <c r="A21" i="38"/>
  <c r="A20" i="38"/>
  <c r="A19" i="38"/>
  <c r="A18" i="38"/>
  <c r="A17" i="38"/>
  <c r="A16" i="38"/>
  <c r="A15" i="38"/>
  <c r="A14" i="38"/>
  <c r="A13" i="38"/>
  <c r="A12" i="38"/>
  <c r="A11" i="38"/>
  <c r="A10" i="38"/>
  <c r="A9" i="38"/>
  <c r="L133" i="38"/>
  <c r="J131" i="38"/>
  <c r="I131" i="38"/>
  <c r="G131" i="38"/>
  <c r="J130" i="38"/>
  <c r="G130" i="38"/>
  <c r="I130" i="38" s="1"/>
  <c r="J129" i="38"/>
  <c r="G129" i="38"/>
  <c r="I129" i="38" s="1"/>
  <c r="J128" i="38"/>
  <c r="G128" i="38"/>
  <c r="I128" i="38" s="1"/>
  <c r="J127" i="38"/>
  <c r="I127" i="38"/>
  <c r="G127" i="38"/>
  <c r="J126" i="38"/>
  <c r="G126" i="38"/>
  <c r="I126" i="38" s="1"/>
  <c r="J125" i="38"/>
  <c r="G125" i="38"/>
  <c r="I125" i="38" s="1"/>
  <c r="J124" i="38"/>
  <c r="G124" i="38"/>
  <c r="I124" i="38" s="1"/>
  <c r="J123" i="38"/>
  <c r="I123" i="38"/>
  <c r="G123" i="38"/>
  <c r="J122" i="38"/>
  <c r="G122" i="38"/>
  <c r="I122" i="38" s="1"/>
  <c r="J121" i="38"/>
  <c r="G121" i="38"/>
  <c r="I121" i="38" s="1"/>
  <c r="J120" i="38"/>
  <c r="G120" i="38"/>
  <c r="I120" i="38" s="1"/>
  <c r="J119" i="38"/>
  <c r="I119" i="38"/>
  <c r="G119" i="38"/>
  <c r="J118" i="38"/>
  <c r="G118" i="38"/>
  <c r="I118" i="38" s="1"/>
  <c r="J117" i="38"/>
  <c r="G117" i="38"/>
  <c r="I117" i="38" s="1"/>
  <c r="J116" i="38"/>
  <c r="G116" i="38"/>
  <c r="I116" i="38" s="1"/>
  <c r="J115" i="38"/>
  <c r="I115" i="38"/>
  <c r="G115" i="38"/>
  <c r="J114" i="38"/>
  <c r="G114" i="38"/>
  <c r="I114" i="38" s="1"/>
  <c r="J113" i="38"/>
  <c r="G113" i="38"/>
  <c r="I113" i="38" s="1"/>
  <c r="J112" i="38"/>
  <c r="G112" i="38"/>
  <c r="I112" i="38" s="1"/>
  <c r="J111" i="38"/>
  <c r="I111" i="38"/>
  <c r="G111" i="38"/>
  <c r="J110" i="38"/>
  <c r="G110" i="38"/>
  <c r="I110" i="38" s="1"/>
  <c r="J109" i="38"/>
  <c r="G109" i="38"/>
  <c r="I109" i="38" s="1"/>
  <c r="J108" i="38"/>
  <c r="G108" i="38"/>
  <c r="I108" i="38" s="1"/>
  <c r="J107" i="38"/>
  <c r="I107" i="38"/>
  <c r="G107" i="38"/>
  <c r="J106" i="38"/>
  <c r="G106" i="38"/>
  <c r="I106" i="38" s="1"/>
  <c r="J105" i="38"/>
  <c r="G105" i="38"/>
  <c r="I105" i="38" s="1"/>
  <c r="J104" i="38"/>
  <c r="G104" i="38"/>
  <c r="I104" i="38" s="1"/>
  <c r="J103" i="38"/>
  <c r="I103" i="38"/>
  <c r="G103" i="38"/>
  <c r="J102" i="38"/>
  <c r="G102" i="38"/>
  <c r="I102" i="38" s="1"/>
  <c r="J101" i="38"/>
  <c r="G101" i="38"/>
  <c r="I101" i="38" s="1"/>
  <c r="J100" i="38"/>
  <c r="G100" i="38"/>
  <c r="I100" i="38" s="1"/>
  <c r="J99" i="38"/>
  <c r="I99" i="38"/>
  <c r="G99" i="38"/>
  <c r="J98" i="38"/>
  <c r="G98" i="38"/>
  <c r="I98" i="38" s="1"/>
  <c r="J97" i="38"/>
  <c r="G97" i="38"/>
  <c r="I97" i="38" s="1"/>
  <c r="J96" i="38"/>
  <c r="G96" i="38"/>
  <c r="I96" i="38" s="1"/>
  <c r="J95" i="38"/>
  <c r="I95" i="38"/>
  <c r="G95" i="38"/>
  <c r="J94" i="38"/>
  <c r="G94" i="38"/>
  <c r="I94" i="38" s="1"/>
  <c r="J93" i="38"/>
  <c r="G93" i="38"/>
  <c r="I93" i="38" s="1"/>
  <c r="J92" i="38"/>
  <c r="G92" i="38"/>
  <c r="I92" i="38" s="1"/>
  <c r="J91" i="38"/>
  <c r="I91" i="38"/>
  <c r="G91" i="38"/>
  <c r="J90" i="38"/>
  <c r="G90" i="38"/>
  <c r="I90" i="38" s="1"/>
  <c r="J89" i="38"/>
  <c r="G89" i="38"/>
  <c r="I89" i="38" s="1"/>
  <c r="J88" i="38"/>
  <c r="G88" i="38"/>
  <c r="I88" i="38" s="1"/>
  <c r="J87" i="38"/>
  <c r="I87" i="38"/>
  <c r="G87" i="38"/>
  <c r="J86" i="38"/>
  <c r="G86" i="38"/>
  <c r="I86" i="38" s="1"/>
  <c r="J85" i="38"/>
  <c r="G85" i="38"/>
  <c r="I85" i="38" s="1"/>
  <c r="J84" i="38"/>
  <c r="G84" i="38"/>
  <c r="I84" i="38" s="1"/>
  <c r="J83" i="38"/>
  <c r="I83" i="38"/>
  <c r="G83" i="38"/>
  <c r="J82" i="38"/>
  <c r="G82" i="38"/>
  <c r="I82" i="38" s="1"/>
  <c r="J81" i="38"/>
  <c r="G81" i="38"/>
  <c r="I81" i="38" s="1"/>
  <c r="J80" i="38"/>
  <c r="G80" i="38"/>
  <c r="I80" i="38" s="1"/>
  <c r="J79" i="38"/>
  <c r="I79" i="38"/>
  <c r="G79" i="38"/>
  <c r="J78" i="38"/>
  <c r="G78" i="38"/>
  <c r="I78" i="38" s="1"/>
  <c r="J77" i="38"/>
  <c r="J76" i="38"/>
  <c r="J75" i="38"/>
  <c r="J74" i="38"/>
  <c r="J73" i="38"/>
  <c r="J72" i="38"/>
  <c r="J71" i="38"/>
  <c r="J70" i="38"/>
  <c r="G70" i="38"/>
  <c r="I70" i="38" s="1"/>
  <c r="J69" i="38"/>
  <c r="G69" i="38"/>
  <c r="G77" i="38" s="1"/>
  <c r="J68" i="38"/>
  <c r="G68" i="38"/>
  <c r="G76" i="38" s="1"/>
  <c r="J67" i="38"/>
  <c r="G67" i="38"/>
  <c r="I67" i="38" s="1"/>
  <c r="J66" i="38"/>
  <c r="J65" i="38"/>
  <c r="J64" i="38"/>
  <c r="J63" i="38"/>
  <c r="J62" i="38"/>
  <c r="J61" i="38"/>
  <c r="J60" i="38"/>
  <c r="K60" i="38" s="1"/>
  <c r="J59" i="38"/>
  <c r="G59" i="38"/>
  <c r="I59" i="38" s="1"/>
  <c r="J58" i="38"/>
  <c r="G58" i="38"/>
  <c r="G66" i="38" s="1"/>
  <c r="J57" i="38"/>
  <c r="G57" i="38"/>
  <c r="G65" i="38" s="1"/>
  <c r="J56" i="38"/>
  <c r="G56" i="38"/>
  <c r="G64" i="38" s="1"/>
  <c r="J55" i="38"/>
  <c r="G55" i="38"/>
  <c r="G63" i="38" s="1"/>
  <c r="J54" i="38"/>
  <c r="G54" i="38"/>
  <c r="G62" i="38" s="1"/>
  <c r="J53" i="38"/>
  <c r="G53" i="38"/>
  <c r="G61" i="38" s="1"/>
  <c r="J52" i="38"/>
  <c r="I52" i="38"/>
  <c r="F52" i="38"/>
  <c r="J51" i="38"/>
  <c r="I51" i="38"/>
  <c r="F51" i="38"/>
  <c r="J50" i="38"/>
  <c r="I50" i="38"/>
  <c r="F50" i="38"/>
  <c r="J49" i="38"/>
  <c r="I49" i="38"/>
  <c r="F49" i="38"/>
  <c r="J48" i="38"/>
  <c r="I48" i="38"/>
  <c r="F48" i="38"/>
  <c r="J47" i="38"/>
  <c r="I47" i="38"/>
  <c r="F47" i="38"/>
  <c r="J46" i="38"/>
  <c r="I46" i="38"/>
  <c r="F46" i="38"/>
  <c r="J45" i="38"/>
  <c r="I45" i="38"/>
  <c r="F45" i="38"/>
  <c r="J44" i="38"/>
  <c r="I44" i="38"/>
  <c r="F44" i="38"/>
  <c r="J43" i="38"/>
  <c r="G43" i="38"/>
  <c r="I43" i="38" s="1"/>
  <c r="E43" i="38"/>
  <c r="J42" i="38"/>
  <c r="G42" i="38"/>
  <c r="I42" i="38" s="1"/>
  <c r="E42" i="38"/>
  <c r="J41" i="38"/>
  <c r="G41" i="38"/>
  <c r="I41" i="38" s="1"/>
  <c r="E41" i="38"/>
  <c r="J40" i="38"/>
  <c r="G40" i="38"/>
  <c r="I40" i="38" s="1"/>
  <c r="E40" i="38"/>
  <c r="J39" i="38"/>
  <c r="G39" i="38"/>
  <c r="I39" i="38" s="1"/>
  <c r="E39" i="38"/>
  <c r="J38" i="38"/>
  <c r="G38" i="38"/>
  <c r="I38" i="38" s="1"/>
  <c r="E38" i="38"/>
  <c r="J37" i="38"/>
  <c r="I37" i="38"/>
  <c r="F37" i="38"/>
  <c r="J36" i="38"/>
  <c r="I36" i="38"/>
  <c r="F36" i="38"/>
  <c r="J35" i="38"/>
  <c r="I35" i="38"/>
  <c r="F35" i="38"/>
  <c r="J34" i="38"/>
  <c r="I34" i="38"/>
  <c r="F34" i="38"/>
  <c r="J33" i="38"/>
  <c r="I33" i="38"/>
  <c r="F33" i="38"/>
  <c r="J32" i="38"/>
  <c r="I32" i="38"/>
  <c r="F32" i="38"/>
  <c r="J31" i="38"/>
  <c r="I31" i="38"/>
  <c r="F31" i="38"/>
  <c r="J30" i="38"/>
  <c r="I30" i="38"/>
  <c r="F30" i="38"/>
  <c r="J29" i="38"/>
  <c r="I29" i="38"/>
  <c r="F29" i="38"/>
  <c r="J28" i="38"/>
  <c r="I28" i="38"/>
  <c r="F28" i="38"/>
  <c r="J27" i="38"/>
  <c r="I27" i="38"/>
  <c r="F27" i="38"/>
  <c r="J26" i="38"/>
  <c r="I26" i="38"/>
  <c r="F26" i="38"/>
  <c r="J25" i="38"/>
  <c r="I25" i="38"/>
  <c r="F25" i="38"/>
  <c r="J24" i="38"/>
  <c r="I24" i="38"/>
  <c r="F24" i="38"/>
  <c r="J23" i="38"/>
  <c r="I23" i="38"/>
  <c r="F23" i="38"/>
  <c r="J22" i="38"/>
  <c r="I22" i="38"/>
  <c r="F22" i="38"/>
  <c r="J21" i="38"/>
  <c r="I21" i="38"/>
  <c r="F21" i="38"/>
  <c r="J20" i="38"/>
  <c r="I20" i="38"/>
  <c r="F20" i="38"/>
  <c r="J19" i="38"/>
  <c r="I19" i="38"/>
  <c r="F19" i="38"/>
  <c r="J18" i="38"/>
  <c r="I18" i="38"/>
  <c r="F18" i="38"/>
  <c r="J17" i="38"/>
  <c r="I17" i="38"/>
  <c r="F17" i="38"/>
  <c r="J16" i="38"/>
  <c r="I16" i="38"/>
  <c r="F16" i="38"/>
  <c r="J15" i="38"/>
  <c r="I15" i="38"/>
  <c r="F15" i="38"/>
  <c r="J14" i="38"/>
  <c r="I14" i="38"/>
  <c r="F14" i="38"/>
  <c r="J13" i="38"/>
  <c r="I13" i="38"/>
  <c r="F13" i="38"/>
  <c r="J12" i="38"/>
  <c r="I12" i="38"/>
  <c r="F12" i="38"/>
  <c r="J11" i="38"/>
  <c r="I11" i="38"/>
  <c r="F11" i="38"/>
  <c r="J10" i="38"/>
  <c r="I10" i="38"/>
  <c r="F10" i="38"/>
  <c r="J9" i="38"/>
  <c r="I9" i="38"/>
  <c r="F9" i="38"/>
  <c r="J8" i="38"/>
  <c r="I8" i="38"/>
  <c r="F8" i="38"/>
  <c r="A8" i="38"/>
  <c r="I7" i="38"/>
  <c r="K7" i="38" s="1"/>
  <c r="M7" i="38" s="1"/>
  <c r="F7" i="38"/>
  <c r="A7" i="38"/>
  <c r="F53" i="38" l="1"/>
  <c r="I53" i="38"/>
  <c r="F55" i="38"/>
  <c r="I55" i="38"/>
  <c r="F57" i="38"/>
  <c r="I57" i="38"/>
  <c r="F59" i="38"/>
  <c r="F67" i="38"/>
  <c r="F69" i="38"/>
  <c r="I69" i="38"/>
  <c r="K8" i="38"/>
  <c r="M8" i="38" s="1"/>
  <c r="K10" i="38"/>
  <c r="M10" i="38" s="1"/>
  <c r="K12" i="38"/>
  <c r="M12" i="38" s="1"/>
  <c r="K14" i="38"/>
  <c r="K16" i="38"/>
  <c r="M16" i="38" s="1"/>
  <c r="K18" i="38"/>
  <c r="M18" i="38" s="1"/>
  <c r="K20" i="38"/>
  <c r="K22" i="38"/>
  <c r="K53" i="38" s="1"/>
  <c r="M53" i="38" s="1"/>
  <c r="K24" i="38"/>
  <c r="K55" i="38" s="1"/>
  <c r="M55" i="38" s="1"/>
  <c r="K26" i="38"/>
  <c r="K65" i="38" s="1"/>
  <c r="M65" i="38" s="1"/>
  <c r="K28" i="38"/>
  <c r="M28" i="38" s="1"/>
  <c r="K52" i="38"/>
  <c r="M52" i="38" s="1"/>
  <c r="K78" i="38"/>
  <c r="M78" i="38" s="1"/>
  <c r="K80" i="38"/>
  <c r="M80" i="38" s="1"/>
  <c r="K82" i="38"/>
  <c r="M82" i="38" s="1"/>
  <c r="K84" i="38"/>
  <c r="M84" i="38" s="1"/>
  <c r="K86" i="38"/>
  <c r="M86" i="38" s="1"/>
  <c r="K88" i="38"/>
  <c r="M88" i="38" s="1"/>
  <c r="K90" i="38"/>
  <c r="M90" i="38" s="1"/>
  <c r="K92" i="38"/>
  <c r="M92" i="38" s="1"/>
  <c r="K94" i="38"/>
  <c r="M94" i="38" s="1"/>
  <c r="K96" i="38"/>
  <c r="M96" i="38" s="1"/>
  <c r="K98" i="38"/>
  <c r="M98" i="38" s="1"/>
  <c r="K100" i="38"/>
  <c r="M100" i="38" s="1"/>
  <c r="K102" i="38"/>
  <c r="M102" i="38" s="1"/>
  <c r="K104" i="38"/>
  <c r="M104" i="38" s="1"/>
  <c r="K106" i="38"/>
  <c r="M106" i="38" s="1"/>
  <c r="K108" i="38"/>
  <c r="M108" i="38" s="1"/>
  <c r="K110" i="38"/>
  <c r="M110" i="38" s="1"/>
  <c r="K112" i="38"/>
  <c r="M112" i="38" s="1"/>
  <c r="K114" i="38"/>
  <c r="M114" i="38" s="1"/>
  <c r="K116" i="38"/>
  <c r="M116" i="38" s="1"/>
  <c r="K118" i="38"/>
  <c r="M118" i="38" s="1"/>
  <c r="K120" i="38"/>
  <c r="M120" i="38" s="1"/>
  <c r="K122" i="38"/>
  <c r="M122" i="38" s="1"/>
  <c r="K124" i="38"/>
  <c r="M124" i="38" s="1"/>
  <c r="K126" i="38"/>
  <c r="M126" i="38" s="1"/>
  <c r="K128" i="38"/>
  <c r="M128" i="38" s="1"/>
  <c r="K130" i="38"/>
  <c r="M130" i="38" s="1"/>
  <c r="K9" i="38"/>
  <c r="M9" i="38" s="1"/>
  <c r="K11" i="38"/>
  <c r="M11" i="38" s="1"/>
  <c r="K13" i="38"/>
  <c r="M13" i="38" s="1"/>
  <c r="K15" i="38"/>
  <c r="K17" i="38"/>
  <c r="K19" i="38"/>
  <c r="K21" i="38"/>
  <c r="K29" i="38" s="1"/>
  <c r="M29" i="38" s="1"/>
  <c r="K23" i="38"/>
  <c r="M23" i="38" s="1"/>
  <c r="K25" i="38"/>
  <c r="K73" i="38" s="1"/>
  <c r="M73" i="38" s="1"/>
  <c r="K27" i="38"/>
  <c r="K50" i="38" s="1"/>
  <c r="M50" i="38" s="1"/>
  <c r="K37" i="38"/>
  <c r="M37" i="38" s="1"/>
  <c r="K79" i="38"/>
  <c r="M79" i="38" s="1"/>
  <c r="K81" i="38"/>
  <c r="M81" i="38" s="1"/>
  <c r="K83" i="38"/>
  <c r="M83" i="38" s="1"/>
  <c r="K85" i="38"/>
  <c r="M85" i="38" s="1"/>
  <c r="K87" i="38"/>
  <c r="M87" i="38" s="1"/>
  <c r="K89" i="38"/>
  <c r="M89" i="38" s="1"/>
  <c r="K91" i="38"/>
  <c r="M91" i="38" s="1"/>
  <c r="K93" i="38"/>
  <c r="M93" i="38" s="1"/>
  <c r="K95" i="38"/>
  <c r="M95" i="38" s="1"/>
  <c r="K97" i="38"/>
  <c r="M97" i="38" s="1"/>
  <c r="K99" i="38"/>
  <c r="M99" i="38" s="1"/>
  <c r="K101" i="38"/>
  <c r="M101" i="38" s="1"/>
  <c r="K103" i="38"/>
  <c r="M103" i="38" s="1"/>
  <c r="K105" i="38"/>
  <c r="M105" i="38" s="1"/>
  <c r="K107" i="38"/>
  <c r="M107" i="38" s="1"/>
  <c r="K109" i="38"/>
  <c r="M109" i="38" s="1"/>
  <c r="K111" i="38"/>
  <c r="M111" i="38" s="1"/>
  <c r="K113" i="38"/>
  <c r="M113" i="38" s="1"/>
  <c r="K115" i="38"/>
  <c r="M115" i="38" s="1"/>
  <c r="K117" i="38"/>
  <c r="M117" i="38" s="1"/>
  <c r="K119" i="38"/>
  <c r="M119" i="38" s="1"/>
  <c r="K121" i="38"/>
  <c r="M121" i="38" s="1"/>
  <c r="K123" i="38"/>
  <c r="M123" i="38" s="1"/>
  <c r="K125" i="38"/>
  <c r="M125" i="38" s="1"/>
  <c r="K127" i="38"/>
  <c r="M127" i="38" s="1"/>
  <c r="K129" i="38"/>
  <c r="M129" i="38" s="1"/>
  <c r="K131" i="38"/>
  <c r="M131" i="38" s="1"/>
  <c r="I61" i="38"/>
  <c r="F61" i="38"/>
  <c r="G71" i="38"/>
  <c r="I62" i="38"/>
  <c r="F62" i="38"/>
  <c r="G72" i="38"/>
  <c r="I63" i="38"/>
  <c r="F63" i="38"/>
  <c r="G73" i="38"/>
  <c r="I64" i="38"/>
  <c r="F64" i="38"/>
  <c r="G74" i="38"/>
  <c r="I65" i="38"/>
  <c r="F65" i="38"/>
  <c r="G75" i="38"/>
  <c r="I66" i="38"/>
  <c r="F66" i="38"/>
  <c r="I76" i="38"/>
  <c r="F76" i="38"/>
  <c r="I77" i="38"/>
  <c r="F77" i="38"/>
  <c r="F38" i="38"/>
  <c r="F39" i="38"/>
  <c r="F40" i="38"/>
  <c r="F41" i="38"/>
  <c r="F42" i="38"/>
  <c r="F43" i="38"/>
  <c r="F54" i="38"/>
  <c r="I54" i="38"/>
  <c r="F56" i="38"/>
  <c r="I56" i="38"/>
  <c r="F58" i="38"/>
  <c r="I58" i="38"/>
  <c r="F68" i="38"/>
  <c r="I68" i="38"/>
  <c r="F70" i="38"/>
  <c r="K69" i="38" l="1"/>
  <c r="M69" i="38" s="1"/>
  <c r="M19" i="38"/>
  <c r="K39" i="38"/>
  <c r="M39" i="38" s="1"/>
  <c r="M15" i="38"/>
  <c r="K70" i="38"/>
  <c r="M70" i="38" s="1"/>
  <c r="M20" i="38"/>
  <c r="M24" i="38"/>
  <c r="K67" i="38"/>
  <c r="M67" i="38" s="1"/>
  <c r="M17" i="38"/>
  <c r="K38" i="38"/>
  <c r="M38" i="38" s="1"/>
  <c r="M14" i="38"/>
  <c r="K42" i="38"/>
  <c r="M42" i="38" s="1"/>
  <c r="K76" i="38"/>
  <c r="M76" i="38" s="1"/>
  <c r="K59" i="38"/>
  <c r="M59" i="38" s="1"/>
  <c r="K57" i="38"/>
  <c r="M57" i="38" s="1"/>
  <c r="M22" i="38"/>
  <c r="K61" i="38"/>
  <c r="M61" i="38" s="1"/>
  <c r="K68" i="38"/>
  <c r="M68" i="38" s="1"/>
  <c r="K30" i="38"/>
  <c r="M30" i="38" s="1"/>
  <c r="K34" i="38"/>
  <c r="M34" i="38" s="1"/>
  <c r="K49" i="38"/>
  <c r="M49" i="38" s="1"/>
  <c r="K74" i="38"/>
  <c r="M74" i="38" s="1"/>
  <c r="M26" i="38"/>
  <c r="K45" i="38"/>
  <c r="M45" i="38" s="1"/>
  <c r="K40" i="38"/>
  <c r="M40" i="38" s="1"/>
  <c r="K51" i="38"/>
  <c r="M51" i="38" s="1"/>
  <c r="K75" i="38"/>
  <c r="M75" i="38" s="1"/>
  <c r="K66" i="38"/>
  <c r="M66" i="38" s="1"/>
  <c r="K47" i="38"/>
  <c r="M47" i="38" s="1"/>
  <c r="K63" i="38"/>
  <c r="M63" i="38" s="1"/>
  <c r="M25" i="38"/>
  <c r="K36" i="38"/>
  <c r="M36" i="38" s="1"/>
  <c r="K58" i="38"/>
  <c r="M58" i="38" s="1"/>
  <c r="K35" i="38"/>
  <c r="M35" i="38" s="1"/>
  <c r="K32" i="38"/>
  <c r="M32" i="38" s="1"/>
  <c r="K72" i="38"/>
  <c r="M72" i="38" s="1"/>
  <c r="K62" i="38"/>
  <c r="M62" i="38" s="1"/>
  <c r="K77" i="38"/>
  <c r="M77" i="38" s="1"/>
  <c r="M27" i="38"/>
  <c r="K46" i="38"/>
  <c r="M46" i="38" s="1"/>
  <c r="K71" i="38"/>
  <c r="M71" i="38" s="1"/>
  <c r="K43" i="38"/>
  <c r="M43" i="38" s="1"/>
  <c r="K33" i="38"/>
  <c r="M33" i="38" s="1"/>
  <c r="K44" i="38"/>
  <c r="M44" i="38" s="1"/>
  <c r="K56" i="38"/>
  <c r="M56" i="38" s="1"/>
  <c r="M21" i="38"/>
  <c r="K41" i="38"/>
  <c r="M41" i="38" s="1"/>
  <c r="K48" i="38"/>
  <c r="M48" i="38" s="1"/>
  <c r="K64" i="38"/>
  <c r="M64" i="38" s="1"/>
  <c r="K31" i="38"/>
  <c r="M31" i="38" s="1"/>
  <c r="K54" i="38"/>
  <c r="M54" i="38" s="1"/>
  <c r="I74" i="38"/>
  <c r="F74" i="38"/>
  <c r="I75" i="38"/>
  <c r="F75" i="38"/>
  <c r="I73" i="38"/>
  <c r="F73" i="38"/>
  <c r="I71" i="38"/>
  <c r="F71" i="38"/>
  <c r="I72" i="38"/>
  <c r="F72" i="38"/>
  <c r="N22" i="33" l="1"/>
  <c r="L71" i="33"/>
  <c r="L33" i="33" s="1"/>
  <c r="L83" i="33"/>
  <c r="L45" i="33" s="1"/>
  <c r="L91" i="33"/>
  <c r="L53" i="33" s="1"/>
  <c r="L72" i="33"/>
  <c r="L34" i="33" s="1"/>
  <c r="L84" i="33"/>
  <c r="L46" i="33" s="1"/>
  <c r="L92" i="33"/>
  <c r="L54" i="33" s="1"/>
  <c r="L73" i="33"/>
  <c r="L35" i="33" s="1"/>
  <c r="L85" i="33"/>
  <c r="L47" i="33" s="1"/>
  <c r="L93" i="33"/>
  <c r="L55" i="33" s="1"/>
  <c r="L74" i="33"/>
  <c r="L75" i="33"/>
  <c r="L37" i="33" s="1"/>
  <c r="K11" i="33" s="1"/>
  <c r="L86" i="33"/>
  <c r="L48" i="33" s="1"/>
  <c r="L76" i="33"/>
  <c r="L77" i="33"/>
  <c r="L39" i="33" s="1"/>
  <c r="L87" i="33"/>
  <c r="L49" i="33" s="1"/>
  <c r="L78" i="33"/>
  <c r="L88" i="33"/>
  <c r="L80" i="33"/>
  <c r="L42" i="33" s="1"/>
  <c r="L89" i="33"/>
  <c r="L81" i="33"/>
  <c r="L43" i="33" s="1"/>
  <c r="L94" i="33"/>
  <c r="M71" i="33"/>
  <c r="M33" i="33" s="1"/>
  <c r="M83" i="33"/>
  <c r="M45" i="33" s="1"/>
  <c r="M91" i="33"/>
  <c r="M53" i="33" s="1"/>
  <c r="M72" i="33"/>
  <c r="M34" i="33" s="1"/>
  <c r="M84" i="33"/>
  <c r="M46" i="33" s="1"/>
  <c r="M92" i="33"/>
  <c r="M54" i="33" s="1"/>
  <c r="M73" i="33"/>
  <c r="M35" i="33" s="1"/>
  <c r="M85" i="33"/>
  <c r="M47" i="33" s="1"/>
  <c r="M93" i="33"/>
  <c r="M55" i="33" s="1"/>
  <c r="M74" i="33"/>
  <c r="M75" i="33"/>
  <c r="M37" i="33" s="1"/>
  <c r="M86" i="33"/>
  <c r="M48" i="33" s="1"/>
  <c r="M76" i="33"/>
  <c r="M77" i="33"/>
  <c r="M39" i="33" s="1"/>
  <c r="L13" i="33" s="1"/>
  <c r="M87" i="33"/>
  <c r="M49" i="33" s="1"/>
  <c r="M78" i="33"/>
  <c r="M88" i="33"/>
  <c r="M80" i="33"/>
  <c r="M42" i="33" s="1"/>
  <c r="L16" i="33" s="1"/>
  <c r="M89" i="33"/>
  <c r="M51" i="33" s="1"/>
  <c r="M81" i="33"/>
  <c r="M43" i="33" s="1"/>
  <c r="L17" i="33" s="1"/>
  <c r="M94" i="33"/>
  <c r="M56" i="33" s="1"/>
  <c r="N71" i="33"/>
  <c r="N33" i="33" s="1"/>
  <c r="N83" i="33"/>
  <c r="N45" i="33" s="1"/>
  <c r="N91" i="33"/>
  <c r="N53" i="33" s="1"/>
  <c r="N72" i="33"/>
  <c r="N34" i="33" s="1"/>
  <c r="N84" i="33"/>
  <c r="N46" i="33" s="1"/>
  <c r="N92" i="33"/>
  <c r="N54" i="33" s="1"/>
  <c r="N73" i="33"/>
  <c r="N35" i="33" s="1"/>
  <c r="N85" i="33"/>
  <c r="N47" i="33" s="1"/>
  <c r="N93" i="33"/>
  <c r="N55" i="33" s="1"/>
  <c r="N74" i="33"/>
  <c r="N75" i="33"/>
  <c r="N37" i="33" s="1"/>
  <c r="M11" i="33" s="1"/>
  <c r="N86" i="33"/>
  <c r="N48" i="33" s="1"/>
  <c r="N76" i="33"/>
  <c r="N77" i="33"/>
  <c r="N39" i="33" s="1"/>
  <c r="N87" i="33"/>
  <c r="N49" i="33" s="1"/>
  <c r="N78" i="33"/>
  <c r="N88" i="33"/>
  <c r="N80" i="33"/>
  <c r="N42" i="33" s="1"/>
  <c r="N89" i="33"/>
  <c r="N51" i="33" s="1"/>
  <c r="N81" i="33"/>
  <c r="N43" i="33" s="1"/>
  <c r="N94" i="33"/>
  <c r="N56" i="33" s="1"/>
  <c r="P157" i="33"/>
  <c r="P156" i="33"/>
  <c r="D28" i="8"/>
  <c r="D32" i="8"/>
  <c r="D39" i="8"/>
  <c r="D48" i="8"/>
  <c r="D49" i="8"/>
  <c r="D50" i="8"/>
  <c r="D52" i="8"/>
  <c r="D53" i="8"/>
  <c r="C81" i="33"/>
  <c r="C43" i="33" s="1"/>
  <c r="C94" i="33"/>
  <c r="C56" i="33" s="1"/>
  <c r="D81" i="33"/>
  <c r="D43" i="33" s="1"/>
  <c r="C17" i="33" s="1"/>
  <c r="D94" i="33"/>
  <c r="D56" i="33" s="1"/>
  <c r="E81" i="33"/>
  <c r="E43" i="33" s="1"/>
  <c r="D17" i="33" s="1"/>
  <c r="E94" i="33"/>
  <c r="E56" i="33" s="1"/>
  <c r="F81" i="33"/>
  <c r="F43" i="33" s="1"/>
  <c r="E17" i="33" s="1"/>
  <c r="F94" i="33"/>
  <c r="F56" i="33" s="1"/>
  <c r="G81" i="33"/>
  <c r="G43" i="33" s="1"/>
  <c r="F17" i="33" s="1"/>
  <c r="G94" i="33"/>
  <c r="G56" i="33" s="1"/>
  <c r="H81" i="33"/>
  <c r="H43" i="33" s="1"/>
  <c r="G17" i="33" s="1"/>
  <c r="H94" i="33"/>
  <c r="H56" i="33" s="1"/>
  <c r="I81" i="33"/>
  <c r="I43" i="33" s="1"/>
  <c r="H17" i="33" s="1"/>
  <c r="I94" i="33"/>
  <c r="I56" i="33" s="1"/>
  <c r="J81" i="33"/>
  <c r="J43" i="33" s="1"/>
  <c r="I17" i="33" s="1"/>
  <c r="J94" i="33"/>
  <c r="J56" i="33" s="1"/>
  <c r="K81" i="33"/>
  <c r="K43" i="33" s="1"/>
  <c r="J17" i="33" s="1"/>
  <c r="K94" i="33"/>
  <c r="K56" i="33" s="1"/>
  <c r="C69" i="33"/>
  <c r="C31" i="33" s="1"/>
  <c r="C32" i="33" s="1"/>
  <c r="B6" i="33" s="1"/>
  <c r="D69" i="33"/>
  <c r="D31" i="33" s="1"/>
  <c r="D32" i="33" s="1"/>
  <c r="C6" i="33" s="1"/>
  <c r="E69" i="33"/>
  <c r="E31" i="33" s="1"/>
  <c r="E32" i="33" s="1"/>
  <c r="D6" i="33" s="1"/>
  <c r="F69" i="33"/>
  <c r="F31" i="33" s="1"/>
  <c r="F32" i="33" s="1"/>
  <c r="E6" i="33" s="1"/>
  <c r="G69" i="33"/>
  <c r="G31" i="33" s="1"/>
  <c r="G32" i="33" s="1"/>
  <c r="F6" i="33" s="1"/>
  <c r="H69" i="33"/>
  <c r="H31" i="33" s="1"/>
  <c r="H32" i="33" s="1"/>
  <c r="G6" i="33" s="1"/>
  <c r="I69" i="33"/>
  <c r="I31" i="33" s="1"/>
  <c r="I32" i="33" s="1"/>
  <c r="H6" i="33" s="1"/>
  <c r="J69" i="33"/>
  <c r="J31" i="33" s="1"/>
  <c r="J32" i="33" s="1"/>
  <c r="I6" i="33" s="1"/>
  <c r="K69" i="33"/>
  <c r="K31" i="33" s="1"/>
  <c r="K32" i="33" s="1"/>
  <c r="J6" i="33" s="1"/>
  <c r="L69" i="33"/>
  <c r="L31" i="33" s="1"/>
  <c r="L32" i="33" s="1"/>
  <c r="K6" i="33" s="1"/>
  <c r="M69" i="33"/>
  <c r="M31" i="33" s="1"/>
  <c r="M32" i="33" s="1"/>
  <c r="L6" i="33" s="1"/>
  <c r="N69" i="33"/>
  <c r="N31" i="33" s="1"/>
  <c r="N32" i="33" s="1"/>
  <c r="M6" i="33" s="1"/>
  <c r="C71" i="33"/>
  <c r="C33" i="33" s="1"/>
  <c r="C83" i="33"/>
  <c r="C45" i="33" s="1"/>
  <c r="C91" i="33"/>
  <c r="C53" i="33" s="1"/>
  <c r="D71" i="33"/>
  <c r="D33" i="33" s="1"/>
  <c r="D83" i="33"/>
  <c r="D45" i="33" s="1"/>
  <c r="D91" i="33"/>
  <c r="D53" i="33" s="1"/>
  <c r="E71" i="33"/>
  <c r="E33" i="33" s="1"/>
  <c r="E83" i="33"/>
  <c r="E45" i="33" s="1"/>
  <c r="E91" i="33"/>
  <c r="E53" i="33" s="1"/>
  <c r="F71" i="33"/>
  <c r="F33" i="33" s="1"/>
  <c r="F83" i="33"/>
  <c r="F45" i="33" s="1"/>
  <c r="F91" i="33"/>
  <c r="F53" i="33" s="1"/>
  <c r="G71" i="33"/>
  <c r="G33" i="33" s="1"/>
  <c r="G83" i="33"/>
  <c r="G45" i="33" s="1"/>
  <c r="G91" i="33"/>
  <c r="G53" i="33" s="1"/>
  <c r="H71" i="33"/>
  <c r="H33" i="33" s="1"/>
  <c r="H83" i="33"/>
  <c r="H45" i="33" s="1"/>
  <c r="H91" i="33"/>
  <c r="H53" i="33" s="1"/>
  <c r="I71" i="33"/>
  <c r="I33" i="33" s="1"/>
  <c r="I83" i="33"/>
  <c r="I45" i="33" s="1"/>
  <c r="I91" i="33"/>
  <c r="I53" i="33" s="1"/>
  <c r="J71" i="33"/>
  <c r="J33" i="33" s="1"/>
  <c r="J83" i="33"/>
  <c r="J45" i="33" s="1"/>
  <c r="J91" i="33"/>
  <c r="J53" i="33" s="1"/>
  <c r="K71" i="33"/>
  <c r="K33" i="33" s="1"/>
  <c r="K83" i="33"/>
  <c r="K45" i="33" s="1"/>
  <c r="K91" i="33"/>
  <c r="K53" i="33" s="1"/>
  <c r="C72" i="33"/>
  <c r="C34" i="33" s="1"/>
  <c r="C84" i="33"/>
  <c r="C46" i="33" s="1"/>
  <c r="C92" i="33"/>
  <c r="C54" i="33" s="1"/>
  <c r="D72" i="33"/>
  <c r="D34" i="33" s="1"/>
  <c r="D84" i="33"/>
  <c r="D46" i="33" s="1"/>
  <c r="D92" i="33"/>
  <c r="D54" i="33" s="1"/>
  <c r="E72" i="33"/>
  <c r="E34" i="33" s="1"/>
  <c r="E84" i="33"/>
  <c r="E46" i="33" s="1"/>
  <c r="E92" i="33"/>
  <c r="E54" i="33" s="1"/>
  <c r="F72" i="33"/>
  <c r="F34" i="33" s="1"/>
  <c r="F84" i="33"/>
  <c r="F46" i="33" s="1"/>
  <c r="F92" i="33"/>
  <c r="F54" i="33" s="1"/>
  <c r="G72" i="33"/>
  <c r="G34" i="33" s="1"/>
  <c r="G84" i="33"/>
  <c r="G46" i="33" s="1"/>
  <c r="G92" i="33"/>
  <c r="G54" i="33" s="1"/>
  <c r="H72" i="33"/>
  <c r="H34" i="33" s="1"/>
  <c r="H84" i="33"/>
  <c r="H46" i="33" s="1"/>
  <c r="H92" i="33"/>
  <c r="H54" i="33" s="1"/>
  <c r="I72" i="33"/>
  <c r="I34" i="33" s="1"/>
  <c r="I84" i="33"/>
  <c r="I46" i="33" s="1"/>
  <c r="I92" i="33"/>
  <c r="I54" i="33" s="1"/>
  <c r="J72" i="33"/>
  <c r="J34" i="33" s="1"/>
  <c r="J84" i="33"/>
  <c r="J46" i="33" s="1"/>
  <c r="J92" i="33"/>
  <c r="J54" i="33" s="1"/>
  <c r="K72" i="33"/>
  <c r="K34" i="33" s="1"/>
  <c r="K84" i="33"/>
  <c r="K46" i="33" s="1"/>
  <c r="K92" i="33"/>
  <c r="K54" i="33" s="1"/>
  <c r="C73" i="33"/>
  <c r="C35" i="33" s="1"/>
  <c r="C85" i="33"/>
  <c r="C47" i="33" s="1"/>
  <c r="C93" i="33"/>
  <c r="C55" i="33" s="1"/>
  <c r="D73" i="33"/>
  <c r="D35" i="33" s="1"/>
  <c r="D85" i="33"/>
  <c r="D47" i="33" s="1"/>
  <c r="D93" i="33"/>
  <c r="D55" i="33" s="1"/>
  <c r="E73" i="33"/>
  <c r="E35" i="33" s="1"/>
  <c r="E85" i="33"/>
  <c r="E47" i="33" s="1"/>
  <c r="E93" i="33"/>
  <c r="E55" i="33" s="1"/>
  <c r="F73" i="33"/>
  <c r="F35" i="33" s="1"/>
  <c r="F85" i="33"/>
  <c r="F47" i="33" s="1"/>
  <c r="F93" i="33"/>
  <c r="F55" i="33" s="1"/>
  <c r="G73" i="33"/>
  <c r="G35" i="33" s="1"/>
  <c r="G85" i="33"/>
  <c r="G47" i="33" s="1"/>
  <c r="G93" i="33"/>
  <c r="G55" i="33" s="1"/>
  <c r="H73" i="33"/>
  <c r="H35" i="33" s="1"/>
  <c r="H85" i="33"/>
  <c r="H47" i="33" s="1"/>
  <c r="H93" i="33"/>
  <c r="H55" i="33" s="1"/>
  <c r="I73" i="33"/>
  <c r="I35" i="33" s="1"/>
  <c r="I85" i="33"/>
  <c r="I47" i="33" s="1"/>
  <c r="I93" i="33"/>
  <c r="I55" i="33" s="1"/>
  <c r="J73" i="33"/>
  <c r="J35" i="33" s="1"/>
  <c r="J85" i="33"/>
  <c r="J47" i="33" s="1"/>
  <c r="J93" i="33"/>
  <c r="J55" i="33" s="1"/>
  <c r="K73" i="33"/>
  <c r="K35" i="33" s="1"/>
  <c r="K85" i="33"/>
  <c r="K47" i="33" s="1"/>
  <c r="K93" i="33"/>
  <c r="K55" i="33" s="1"/>
  <c r="C74" i="33"/>
  <c r="D74" i="33"/>
  <c r="E74" i="33"/>
  <c r="F74" i="33"/>
  <c r="G74" i="33"/>
  <c r="G36" i="33" s="1"/>
  <c r="F10" i="33" s="1"/>
  <c r="H74" i="33"/>
  <c r="H36" i="33" s="1"/>
  <c r="G10" i="33" s="1"/>
  <c r="I74" i="33"/>
  <c r="J74" i="33"/>
  <c r="K74" i="33"/>
  <c r="C75" i="33"/>
  <c r="C37" i="33" s="1"/>
  <c r="C86" i="33"/>
  <c r="C48" i="33" s="1"/>
  <c r="D75" i="33"/>
  <c r="D37" i="33" s="1"/>
  <c r="C11" i="33" s="1"/>
  <c r="D86" i="33"/>
  <c r="D48" i="33" s="1"/>
  <c r="E75" i="33"/>
  <c r="E37" i="33" s="1"/>
  <c r="D11" i="33" s="1"/>
  <c r="E86" i="33"/>
  <c r="E48" i="33" s="1"/>
  <c r="F75" i="33"/>
  <c r="F37" i="33" s="1"/>
  <c r="E11" i="33" s="1"/>
  <c r="F86" i="33"/>
  <c r="F48" i="33" s="1"/>
  <c r="G75" i="33"/>
  <c r="G37" i="33" s="1"/>
  <c r="F11" i="33" s="1"/>
  <c r="G86" i="33"/>
  <c r="G48" i="33" s="1"/>
  <c r="H75" i="33"/>
  <c r="H37" i="33" s="1"/>
  <c r="G11" i="33" s="1"/>
  <c r="H86" i="33"/>
  <c r="H48" i="33" s="1"/>
  <c r="I75" i="33"/>
  <c r="I37" i="33" s="1"/>
  <c r="H11" i="33" s="1"/>
  <c r="I86" i="33"/>
  <c r="I48" i="33" s="1"/>
  <c r="J75" i="33"/>
  <c r="J37" i="33" s="1"/>
  <c r="I11" i="33" s="1"/>
  <c r="J86" i="33"/>
  <c r="J48" i="33" s="1"/>
  <c r="K75" i="33"/>
  <c r="K37" i="33" s="1"/>
  <c r="J11" i="33" s="1"/>
  <c r="K86" i="33"/>
  <c r="K48" i="33" s="1"/>
  <c r="C76" i="33"/>
  <c r="D76" i="33"/>
  <c r="E76" i="33"/>
  <c r="F76" i="33"/>
  <c r="G76" i="33"/>
  <c r="H76" i="33"/>
  <c r="I76" i="33"/>
  <c r="J76" i="33"/>
  <c r="K76" i="33"/>
  <c r="D78" i="33"/>
  <c r="E78" i="33"/>
  <c r="F78" i="33"/>
  <c r="G78" i="33"/>
  <c r="H78" i="33"/>
  <c r="I78" i="33"/>
  <c r="J78" i="33"/>
  <c r="K78" i="33"/>
  <c r="C87" i="33"/>
  <c r="C49" i="33" s="1"/>
  <c r="D77" i="33"/>
  <c r="D87" i="33"/>
  <c r="D49" i="33" s="1"/>
  <c r="E77" i="33"/>
  <c r="E87" i="33"/>
  <c r="E49" i="33" s="1"/>
  <c r="F77" i="33"/>
  <c r="F87" i="33"/>
  <c r="F49" i="33" s="1"/>
  <c r="G77" i="33"/>
  <c r="G87" i="33"/>
  <c r="G49" i="33" s="1"/>
  <c r="H77" i="33"/>
  <c r="H87" i="33"/>
  <c r="H49" i="33" s="1"/>
  <c r="I77" i="33"/>
  <c r="I87" i="33"/>
  <c r="I49" i="33" s="1"/>
  <c r="J77" i="33"/>
  <c r="J87" i="33"/>
  <c r="J49" i="33" s="1"/>
  <c r="K77" i="33"/>
  <c r="K87" i="33"/>
  <c r="K49" i="33" s="1"/>
  <c r="C88" i="33"/>
  <c r="D88" i="33"/>
  <c r="D50" i="33" s="1"/>
  <c r="E88" i="33"/>
  <c r="E50" i="33" s="1"/>
  <c r="F88" i="33"/>
  <c r="G88" i="33"/>
  <c r="H88" i="33"/>
  <c r="H50" i="33" s="1"/>
  <c r="I88" i="33"/>
  <c r="I50" i="33" s="1"/>
  <c r="J88" i="33"/>
  <c r="K88" i="33"/>
  <c r="C42" i="33"/>
  <c r="C89" i="33"/>
  <c r="C51" i="33" s="1"/>
  <c r="D80" i="33"/>
  <c r="D42" i="33" s="1"/>
  <c r="D89" i="33"/>
  <c r="D51" i="33" s="1"/>
  <c r="E80" i="33"/>
  <c r="E42" i="33" s="1"/>
  <c r="E89" i="33"/>
  <c r="E51" i="33" s="1"/>
  <c r="F80" i="33"/>
  <c r="F42" i="33" s="1"/>
  <c r="F89" i="33"/>
  <c r="F51" i="33" s="1"/>
  <c r="G80" i="33"/>
  <c r="G42" i="33" s="1"/>
  <c r="G89" i="33"/>
  <c r="G51" i="33" s="1"/>
  <c r="H80" i="33"/>
  <c r="H42" i="33" s="1"/>
  <c r="H89" i="33"/>
  <c r="H51" i="33" s="1"/>
  <c r="I80" i="33"/>
  <c r="I42" i="33" s="1"/>
  <c r="I89" i="33"/>
  <c r="I51" i="33" s="1"/>
  <c r="J80" i="33"/>
  <c r="J42" i="33" s="1"/>
  <c r="J89" i="33"/>
  <c r="J51" i="33" s="1"/>
  <c r="K80" i="33"/>
  <c r="K42" i="33" s="1"/>
  <c r="K89" i="33"/>
  <c r="K51" i="33" s="1"/>
  <c r="C96" i="33"/>
  <c r="C58" i="33" s="1"/>
  <c r="D96" i="33"/>
  <c r="D58" i="33" s="1"/>
  <c r="C18" i="33" s="1"/>
  <c r="E96" i="33"/>
  <c r="E58" i="33" s="1"/>
  <c r="D18" i="33" s="1"/>
  <c r="F96" i="33"/>
  <c r="F58" i="33" s="1"/>
  <c r="E18" i="33" s="1"/>
  <c r="G96" i="33"/>
  <c r="G58" i="33" s="1"/>
  <c r="F18" i="33" s="1"/>
  <c r="H96" i="33"/>
  <c r="H58" i="33" s="1"/>
  <c r="G18" i="33" s="1"/>
  <c r="I96" i="33"/>
  <c r="I58" i="33" s="1"/>
  <c r="H18" i="33" s="1"/>
  <c r="J96" i="33"/>
  <c r="J58" i="33" s="1"/>
  <c r="I18" i="33" s="1"/>
  <c r="K96" i="33"/>
  <c r="K58" i="33" s="1"/>
  <c r="L96" i="33"/>
  <c r="L58" i="33" s="1"/>
  <c r="K18" i="33" s="1"/>
  <c r="M96" i="33"/>
  <c r="M58" i="33" s="1"/>
  <c r="L18" i="33" s="1"/>
  <c r="N96" i="33"/>
  <c r="N58" i="33" s="1"/>
  <c r="M18" i="33" s="1"/>
  <c r="C41" i="33"/>
  <c r="D79" i="33"/>
  <c r="D41" i="33" s="1"/>
  <c r="C15" i="33" s="1"/>
  <c r="E79" i="33"/>
  <c r="E41" i="33" s="1"/>
  <c r="F79" i="33"/>
  <c r="F41" i="33" s="1"/>
  <c r="G79" i="33"/>
  <c r="G41" i="33" s="1"/>
  <c r="H79" i="33"/>
  <c r="H41" i="33" s="1"/>
  <c r="G15" i="33" s="1"/>
  <c r="I79" i="33"/>
  <c r="I41" i="33" s="1"/>
  <c r="J79" i="33"/>
  <c r="J41" i="33" s="1"/>
  <c r="K79" i="33"/>
  <c r="K41" i="33" s="1"/>
  <c r="L79" i="33"/>
  <c r="L41" i="33" s="1"/>
  <c r="M79" i="33"/>
  <c r="M41" i="33" s="1"/>
  <c r="N79" i="33"/>
  <c r="N41" i="33" s="1"/>
  <c r="C70" i="33"/>
  <c r="D70" i="33"/>
  <c r="E70" i="33"/>
  <c r="F70" i="33"/>
  <c r="G70" i="33"/>
  <c r="H70" i="33"/>
  <c r="I70" i="33"/>
  <c r="J70" i="33"/>
  <c r="K70" i="33"/>
  <c r="L70" i="33"/>
  <c r="M70" i="33"/>
  <c r="N70" i="33"/>
  <c r="H95" i="33"/>
  <c r="H99" i="33"/>
  <c r="J95" i="33"/>
  <c r="J99" i="33"/>
  <c r="L90" i="33"/>
  <c r="M90" i="33"/>
  <c r="N90" i="33"/>
  <c r="C95" i="33"/>
  <c r="D95" i="33"/>
  <c r="E95" i="33"/>
  <c r="F95" i="33"/>
  <c r="G95" i="33"/>
  <c r="I95" i="33"/>
  <c r="L95" i="33"/>
  <c r="M95" i="33"/>
  <c r="N95" i="33"/>
  <c r="E97" i="33"/>
  <c r="I97" i="33"/>
  <c r="K97" i="33"/>
  <c r="C99" i="33"/>
  <c r="D99" i="33"/>
  <c r="E99" i="33"/>
  <c r="F99" i="33"/>
  <c r="G99" i="33"/>
  <c r="I99" i="33"/>
  <c r="K99" i="33"/>
  <c r="L99" i="33"/>
  <c r="M99" i="33"/>
  <c r="N99" i="33"/>
  <c r="C109" i="33"/>
  <c r="D109" i="33"/>
  <c r="E109" i="33"/>
  <c r="F109" i="33"/>
  <c r="G109" i="33"/>
  <c r="H109" i="33"/>
  <c r="I109" i="33"/>
  <c r="J109" i="33"/>
  <c r="K109" i="33"/>
  <c r="L109" i="33"/>
  <c r="M109" i="33"/>
  <c r="N109" i="33"/>
  <c r="D47" i="8"/>
  <c r="A45" i="13"/>
  <c r="A1" i="13"/>
  <c r="A2" i="13"/>
  <c r="B8" i="8"/>
  <c r="C8" i="8" s="1"/>
  <c r="N97" i="33"/>
  <c r="I82" i="33"/>
  <c r="E82" i="33"/>
  <c r="G59" i="33"/>
  <c r="G97" i="33"/>
  <c r="K95" i="33"/>
  <c r="G90" i="33"/>
  <c r="H97" i="33"/>
  <c r="D30" i="8" l="1"/>
  <c r="E90" i="33"/>
  <c r="H59" i="33"/>
  <c r="F97" i="33"/>
  <c r="J97" i="33"/>
  <c r="J59" i="33"/>
  <c r="L97" i="33"/>
  <c r="H15" i="33"/>
  <c r="D15" i="33"/>
  <c r="K59" i="33"/>
  <c r="J18" i="33"/>
  <c r="J16" i="33"/>
  <c r="I16" i="33"/>
  <c r="H16" i="33"/>
  <c r="G16" i="33"/>
  <c r="F16" i="33"/>
  <c r="E16" i="33"/>
  <c r="D16" i="33"/>
  <c r="C16" i="33"/>
  <c r="I9" i="33"/>
  <c r="G9" i="33"/>
  <c r="E9" i="33"/>
  <c r="C9" i="33"/>
  <c r="J8" i="33"/>
  <c r="H8" i="33"/>
  <c r="F8" i="33"/>
  <c r="D8" i="33"/>
  <c r="B8" i="33"/>
  <c r="I7" i="33"/>
  <c r="G7" i="33"/>
  <c r="E7" i="33"/>
  <c r="C7" i="33"/>
  <c r="M17" i="33"/>
  <c r="M16" i="33"/>
  <c r="M13" i="33"/>
  <c r="M8" i="33"/>
  <c r="L11" i="33"/>
  <c r="L9" i="33"/>
  <c r="L7" i="33"/>
  <c r="K13" i="33"/>
  <c r="K8" i="33"/>
  <c r="J9" i="33"/>
  <c r="H9" i="33"/>
  <c r="F9" i="33"/>
  <c r="D9" i="33"/>
  <c r="I8" i="33"/>
  <c r="G8" i="33"/>
  <c r="E8" i="33"/>
  <c r="C8" i="33"/>
  <c r="J7" i="33"/>
  <c r="H7" i="33"/>
  <c r="F7" i="33"/>
  <c r="D7" i="33"/>
  <c r="M9" i="33"/>
  <c r="M7" i="33"/>
  <c r="L8" i="33"/>
  <c r="K9" i="33"/>
  <c r="K7" i="33"/>
  <c r="F82" i="33"/>
  <c r="I59" i="33"/>
  <c r="D82" i="33"/>
  <c r="N82" i="33"/>
  <c r="G82" i="33"/>
  <c r="G100" i="33" s="1"/>
  <c r="M82" i="33"/>
  <c r="C82" i="33"/>
  <c r="K50" i="33"/>
  <c r="J15" i="33" s="1"/>
  <c r="F50" i="33"/>
  <c r="E15" i="33" s="1"/>
  <c r="C50" i="33"/>
  <c r="B15" i="33" s="1"/>
  <c r="K39" i="33"/>
  <c r="J13" i="33" s="1"/>
  <c r="J39" i="33"/>
  <c r="I13" i="33" s="1"/>
  <c r="I39" i="33"/>
  <c r="H13" i="33" s="1"/>
  <c r="H39" i="33"/>
  <c r="G13" i="33" s="1"/>
  <c r="G39" i="33"/>
  <c r="F13" i="33" s="1"/>
  <c r="F39" i="33"/>
  <c r="E13" i="33" s="1"/>
  <c r="E39" i="33"/>
  <c r="D13" i="33" s="1"/>
  <c r="D39" i="33"/>
  <c r="C13" i="33" s="1"/>
  <c r="C39" i="33"/>
  <c r="B13" i="33" s="1"/>
  <c r="J40" i="33"/>
  <c r="I14" i="33" s="1"/>
  <c r="H40" i="33"/>
  <c r="G14" i="33" s="1"/>
  <c r="F40" i="33"/>
  <c r="E14" i="33" s="1"/>
  <c r="D40" i="33"/>
  <c r="C14" i="33" s="1"/>
  <c r="K38" i="33"/>
  <c r="J12" i="33" s="1"/>
  <c r="I38" i="33"/>
  <c r="H12" i="33" s="1"/>
  <c r="G38" i="33"/>
  <c r="F12" i="33" s="1"/>
  <c r="E38" i="33"/>
  <c r="D12" i="33" s="1"/>
  <c r="C38" i="33"/>
  <c r="B12" i="33" s="1"/>
  <c r="J36" i="33"/>
  <c r="I10" i="33" s="1"/>
  <c r="F36" i="33"/>
  <c r="E10" i="33" s="1"/>
  <c r="D36" i="33"/>
  <c r="C10" i="33" s="1"/>
  <c r="N40" i="33"/>
  <c r="M14" i="33" s="1"/>
  <c r="N36" i="33"/>
  <c r="M10" i="33" s="1"/>
  <c r="M50" i="33"/>
  <c r="L15" i="33" s="1"/>
  <c r="M38" i="33"/>
  <c r="L12" i="33" s="1"/>
  <c r="L40" i="33"/>
  <c r="K14" i="33" s="1"/>
  <c r="L36" i="33"/>
  <c r="K10" i="33" s="1"/>
  <c r="J50" i="33"/>
  <c r="I15" i="33" s="1"/>
  <c r="G50" i="33"/>
  <c r="F15" i="33" s="1"/>
  <c r="K40" i="33"/>
  <c r="J14" i="33" s="1"/>
  <c r="I40" i="33"/>
  <c r="H14" i="33" s="1"/>
  <c r="G40" i="33"/>
  <c r="F14" i="33" s="1"/>
  <c r="E40" i="33"/>
  <c r="D14" i="33" s="1"/>
  <c r="C40" i="33"/>
  <c r="B14" i="33" s="1"/>
  <c r="J38" i="33"/>
  <c r="I12" i="33" s="1"/>
  <c r="H38" i="33"/>
  <c r="G12" i="33" s="1"/>
  <c r="F38" i="33"/>
  <c r="E12" i="33" s="1"/>
  <c r="D38" i="33"/>
  <c r="C12" i="33" s="1"/>
  <c r="K36" i="33"/>
  <c r="J10" i="33" s="1"/>
  <c r="I36" i="33"/>
  <c r="H10" i="33" s="1"/>
  <c r="E36" i="33"/>
  <c r="D10" i="33" s="1"/>
  <c r="C36" i="33"/>
  <c r="B10" i="33" s="1"/>
  <c r="N50" i="33"/>
  <c r="M15" i="33" s="1"/>
  <c r="N38" i="33"/>
  <c r="M12" i="33" s="1"/>
  <c r="M40" i="33"/>
  <c r="L14" i="33" s="1"/>
  <c r="M36" i="33"/>
  <c r="L10" i="33" s="1"/>
  <c r="L56" i="33"/>
  <c r="L57" i="33" s="1"/>
  <c r="L51" i="33"/>
  <c r="K16" i="33" s="1"/>
  <c r="L50" i="33"/>
  <c r="K15" i="33" s="1"/>
  <c r="L38" i="33"/>
  <c r="K12" i="33" s="1"/>
  <c r="B9" i="8"/>
  <c r="C9" i="8" s="1"/>
  <c r="E100" i="33"/>
  <c r="L59" i="33"/>
  <c r="D97" i="33"/>
  <c r="M57" i="33"/>
  <c r="K57" i="33"/>
  <c r="G57" i="33"/>
  <c r="N57" i="33"/>
  <c r="D57" i="33"/>
  <c r="C57" i="33"/>
  <c r="E57" i="33"/>
  <c r="F57" i="33"/>
  <c r="J57" i="33"/>
  <c r="H57" i="33"/>
  <c r="B17" i="33"/>
  <c r="I57" i="33"/>
  <c r="D90" i="33"/>
  <c r="N52" i="33"/>
  <c r="C90" i="33"/>
  <c r="K90" i="33"/>
  <c r="N100" i="33"/>
  <c r="I90" i="33"/>
  <c r="I100" i="33" s="1"/>
  <c r="B16" i="33"/>
  <c r="B9" i="33"/>
  <c r="B7" i="33"/>
  <c r="F52" i="33"/>
  <c r="D52" i="33"/>
  <c r="K82" i="33"/>
  <c r="K100" i="33" s="1"/>
  <c r="D100" i="33"/>
  <c r="M59" i="33"/>
  <c r="E59" i="33"/>
  <c r="B18" i="33"/>
  <c r="C59" i="33"/>
  <c r="F44" i="33"/>
  <c r="E44" i="33"/>
  <c r="B11" i="33"/>
  <c r="J52" i="33"/>
  <c r="H52" i="33"/>
  <c r="N59" i="33"/>
  <c r="F59" i="33"/>
  <c r="D59" i="33"/>
  <c r="N6" i="33"/>
  <c r="G10" i="32" s="1"/>
  <c r="K52" i="33"/>
  <c r="G52" i="33"/>
  <c r="E52" i="33"/>
  <c r="C52" i="33"/>
  <c r="I52" i="33"/>
  <c r="M97" i="33"/>
  <c r="M100" i="33" s="1"/>
  <c r="C97" i="33"/>
  <c r="F90" i="33"/>
  <c r="F100" i="33" s="1"/>
  <c r="L82" i="33"/>
  <c r="L100" i="33" s="1"/>
  <c r="J90" i="33"/>
  <c r="J82" i="33"/>
  <c r="H90" i="33"/>
  <c r="H82" i="33"/>
  <c r="B10" i="8" l="1"/>
  <c r="C10" i="8" s="1"/>
  <c r="C100" i="33"/>
  <c r="K17" i="33"/>
  <c r="M44" i="33"/>
  <c r="J44" i="33"/>
  <c r="M52" i="33"/>
  <c r="L52" i="33"/>
  <c r="I44" i="33"/>
  <c r="G44" i="33"/>
  <c r="K44" i="33"/>
  <c r="H44" i="33"/>
  <c r="D44" i="33"/>
  <c r="L44" i="33"/>
  <c r="N44" i="33"/>
  <c r="C44" i="33"/>
  <c r="N25" i="33"/>
  <c r="N15" i="33"/>
  <c r="G29" i="32" s="1"/>
  <c r="N12" i="33"/>
  <c r="G22" i="32" s="1"/>
  <c r="N14" i="33"/>
  <c r="G23" i="32" s="1"/>
  <c r="N13" i="33"/>
  <c r="G26" i="32" s="1"/>
  <c r="N16" i="33"/>
  <c r="G30" i="32" s="1"/>
  <c r="N10" i="33"/>
  <c r="G17" i="32" s="1"/>
  <c r="N8" i="33"/>
  <c r="G15" i="32" s="1"/>
  <c r="H15" i="32" s="1"/>
  <c r="H100" i="33"/>
  <c r="J100" i="33"/>
  <c r="N9" i="33"/>
  <c r="G16" i="32" s="1"/>
  <c r="N7" i="33"/>
  <c r="G14" i="32" s="1"/>
  <c r="H10" i="32"/>
  <c r="G11" i="32"/>
  <c r="N11" i="33"/>
  <c r="G21" i="32" s="1"/>
  <c r="N18" i="33"/>
  <c r="G39" i="32" s="1"/>
  <c r="D18" i="13" l="1"/>
  <c r="E18" i="13" s="1"/>
  <c r="D17" i="13"/>
  <c r="E17" i="13" s="1"/>
  <c r="B11" i="8"/>
  <c r="C11" i="8" s="1"/>
  <c r="H17" i="32"/>
  <c r="H29" i="32"/>
  <c r="H26" i="32"/>
  <c r="H22" i="32"/>
  <c r="F60" i="38"/>
  <c r="I60" i="38" s="1"/>
  <c r="M60" i="38" s="1"/>
  <c r="M133" i="38" s="1"/>
  <c r="G31" i="32"/>
  <c r="N17" i="33"/>
  <c r="G33" i="32" s="1"/>
  <c r="H23" i="32"/>
  <c r="H30" i="32"/>
  <c r="H21" i="32"/>
  <c r="G24" i="32"/>
  <c r="D16" i="13"/>
  <c r="E16" i="13" s="1"/>
  <c r="H39" i="32"/>
  <c r="H11" i="32"/>
  <c r="H16" i="32"/>
  <c r="H14" i="32"/>
  <c r="G18" i="32"/>
  <c r="H12" i="12" l="1"/>
  <c r="D10" i="13"/>
  <c r="E10" i="13" s="1"/>
  <c r="D25" i="13"/>
  <c r="E25" i="13" s="1"/>
  <c r="D26" i="13"/>
  <c r="E26" i="13" s="1"/>
  <c r="D12" i="13"/>
  <c r="E12" i="13" s="1"/>
  <c r="H25" i="12"/>
  <c r="H20" i="12"/>
  <c r="H19" i="12"/>
  <c r="H28" i="12"/>
  <c r="B12" i="8"/>
  <c r="H31" i="32"/>
  <c r="H33" i="32"/>
  <c r="H18" i="32"/>
  <c r="H9" i="12"/>
  <c r="H24" i="32"/>
  <c r="H14" i="12"/>
  <c r="C14" i="13"/>
  <c r="B13" i="8" l="1"/>
  <c r="C13" i="8" s="1"/>
  <c r="C12" i="8"/>
  <c r="H33" i="12"/>
  <c r="H13" i="12"/>
  <c r="D16" i="12"/>
  <c r="C16" i="12"/>
  <c r="H27" i="12"/>
  <c r="B14" i="8" l="1"/>
  <c r="C14" i="8" s="1"/>
  <c r="H18" i="12"/>
  <c r="H11" i="12"/>
  <c r="B15" i="8" l="1"/>
  <c r="C15" i="8" s="1"/>
  <c r="H16" i="12"/>
  <c r="B16" i="8" l="1"/>
  <c r="C16" i="8" s="1"/>
  <c r="B17" i="8"/>
  <c r="C17" i="8" s="1"/>
  <c r="B18" i="8" l="1"/>
  <c r="C18" i="8" s="1"/>
  <c r="C20" i="8" l="1"/>
  <c r="B20" i="8"/>
  <c r="B22" i="8" s="1"/>
  <c r="C22" i="8" l="1"/>
  <c r="C24" i="8"/>
  <c r="P169" i="33" l="1"/>
  <c r="Q168" i="33" s="1"/>
  <c r="C168" i="33" s="1"/>
  <c r="D154" i="33" l="1"/>
  <c r="O154" i="33"/>
  <c r="M154" i="33"/>
  <c r="K154" i="33"/>
  <c r="I154" i="33"/>
  <c r="G154" i="33"/>
  <c r="E154" i="33"/>
  <c r="N154" i="33"/>
  <c r="L154" i="33"/>
  <c r="J154" i="33"/>
  <c r="H154" i="33"/>
  <c r="F154" i="33"/>
  <c r="Q167" i="33"/>
  <c r="P154" i="33" l="1"/>
  <c r="C167" i="33"/>
  <c r="Q169" i="33"/>
  <c r="C169" i="33" s="1"/>
  <c r="M155" i="33" l="1"/>
  <c r="M158" i="33" s="1"/>
  <c r="L145" i="33" s="1"/>
  <c r="I155" i="33"/>
  <c r="I158" i="33" s="1"/>
  <c r="H145" i="33" s="1"/>
  <c r="E155" i="33"/>
  <c r="E158" i="33" s="1"/>
  <c r="D145" i="33" s="1"/>
  <c r="O155" i="33"/>
  <c r="O158" i="33" s="1"/>
  <c r="N145" i="33" s="1"/>
  <c r="K155" i="33"/>
  <c r="K158" i="33" s="1"/>
  <c r="J145" i="33" s="1"/>
  <c r="G155" i="33"/>
  <c r="G158" i="33" s="1"/>
  <c r="F145" i="33" s="1"/>
  <c r="H155" i="33"/>
  <c r="H158" i="33" s="1"/>
  <c r="G145" i="33" s="1"/>
  <c r="L155" i="33"/>
  <c r="L158" i="33" s="1"/>
  <c r="K145" i="33" s="1"/>
  <c r="D155" i="33"/>
  <c r="F155" i="33"/>
  <c r="F158" i="33" s="1"/>
  <c r="E145" i="33" s="1"/>
  <c r="J155" i="33"/>
  <c r="J158" i="33" s="1"/>
  <c r="I145" i="33" s="1"/>
  <c r="N155" i="33"/>
  <c r="N158" i="33" s="1"/>
  <c r="M145" i="33" s="1"/>
  <c r="I146" i="33" l="1"/>
  <c r="I147" i="33" s="1"/>
  <c r="I149" i="33" s="1"/>
  <c r="I60" i="33"/>
  <c r="P155" i="33"/>
  <c r="D158" i="33"/>
  <c r="C145" i="33" s="1"/>
  <c r="G146" i="33"/>
  <c r="G147" i="33" s="1"/>
  <c r="G149" i="33" s="1"/>
  <c r="G60" i="33"/>
  <c r="J60" i="33"/>
  <c r="J146" i="33"/>
  <c r="J147" i="33" s="1"/>
  <c r="J149" i="33" s="1"/>
  <c r="D146" i="33"/>
  <c r="D147" i="33" s="1"/>
  <c r="D149" i="33" s="1"/>
  <c r="D60" i="33"/>
  <c r="L60" i="33"/>
  <c r="L146" i="33"/>
  <c r="L147" i="33" s="1"/>
  <c r="L149" i="33" s="1"/>
  <c r="C29" i="13"/>
  <c r="M146" i="33"/>
  <c r="M147" i="33" s="1"/>
  <c r="M149" i="33" s="1"/>
  <c r="M60" i="33"/>
  <c r="E60" i="33"/>
  <c r="E146" i="33"/>
  <c r="E147" i="33" s="1"/>
  <c r="E149" i="33" s="1"/>
  <c r="K60" i="33"/>
  <c r="K146" i="33"/>
  <c r="K147" i="33" s="1"/>
  <c r="K149" i="33" s="1"/>
  <c r="F60" i="33"/>
  <c r="F146" i="33"/>
  <c r="F147" i="33" s="1"/>
  <c r="F149" i="33" s="1"/>
  <c r="N146" i="33"/>
  <c r="N147" i="33" s="1"/>
  <c r="N149" i="33" s="1"/>
  <c r="N60" i="33"/>
  <c r="H146" i="33"/>
  <c r="H147" i="33" s="1"/>
  <c r="H149" i="33" s="1"/>
  <c r="H60" i="33"/>
  <c r="C31" i="12" l="1"/>
  <c r="G19" i="33"/>
  <c r="G20" i="33" s="1"/>
  <c r="G23" i="33" s="1"/>
  <c r="H61" i="33"/>
  <c r="H62" i="33" s="1"/>
  <c r="M19" i="33"/>
  <c r="M20" i="33" s="1"/>
  <c r="M23" i="33" s="1"/>
  <c r="N61" i="33"/>
  <c r="N62" i="33" s="1"/>
  <c r="L19" i="33"/>
  <c r="L20" i="33" s="1"/>
  <c r="L23" i="33" s="1"/>
  <c r="M61" i="33"/>
  <c r="M62" i="33" s="1"/>
  <c r="C19" i="33"/>
  <c r="C20" i="33" s="1"/>
  <c r="C23" i="33" s="1"/>
  <c r="D61" i="33"/>
  <c r="D62" i="33" s="1"/>
  <c r="F19" i="33"/>
  <c r="F20" i="33" s="1"/>
  <c r="F23" i="33" s="1"/>
  <c r="G61" i="33"/>
  <c r="G62" i="33" s="1"/>
  <c r="C60" i="33"/>
  <c r="C146" i="33"/>
  <c r="C147" i="33" s="1"/>
  <c r="C149" i="33" s="1"/>
  <c r="H19" i="33"/>
  <c r="H20" i="33" s="1"/>
  <c r="H23" i="33" s="1"/>
  <c r="I61" i="33"/>
  <c r="I62" i="33" s="1"/>
  <c r="E19" i="33"/>
  <c r="E20" i="33" s="1"/>
  <c r="E23" i="33" s="1"/>
  <c r="F61" i="33"/>
  <c r="F62" i="33" s="1"/>
  <c r="J19" i="33"/>
  <c r="J20" i="33" s="1"/>
  <c r="J23" i="33" s="1"/>
  <c r="K61" i="33"/>
  <c r="K62" i="33" s="1"/>
  <c r="D19" i="33"/>
  <c r="D20" i="33" s="1"/>
  <c r="D23" i="33" s="1"/>
  <c r="E61" i="33"/>
  <c r="E62" i="33" s="1"/>
  <c r="K19" i="33"/>
  <c r="K20" i="33" s="1"/>
  <c r="K23" i="33" s="1"/>
  <c r="L61" i="33"/>
  <c r="L62" i="33" s="1"/>
  <c r="I19" i="33"/>
  <c r="I20" i="33" s="1"/>
  <c r="I23" i="33" s="1"/>
  <c r="J61" i="33"/>
  <c r="J62" i="33" s="1"/>
  <c r="P158" i="33"/>
  <c r="D19" i="13" l="1"/>
  <c r="E19" i="13" s="1"/>
  <c r="D27" i="13"/>
  <c r="E27" i="13" s="1"/>
  <c r="C21" i="13"/>
  <c r="C33" i="13" s="1"/>
  <c r="C38" i="13" s="1"/>
  <c r="B19" i="33"/>
  <c r="C61" i="33"/>
  <c r="C62" i="33" s="1"/>
  <c r="O62" i="33" s="1"/>
  <c r="H29" i="12"/>
  <c r="H31" i="12" s="1"/>
  <c r="D31" i="12"/>
  <c r="C23" i="12" l="1"/>
  <c r="C35" i="12" s="1"/>
  <c r="C40" i="12" s="1"/>
  <c r="N19" i="33"/>
  <c r="G35" i="32" s="1"/>
  <c r="B20" i="33"/>
  <c r="H21" i="12" l="1"/>
  <c r="H23" i="12" s="1"/>
  <c r="D23" i="12"/>
  <c r="D35" i="12" s="1"/>
  <c r="D40" i="12" s="1"/>
  <c r="H35" i="32"/>
  <c r="H37" i="32" s="1"/>
  <c r="H41" i="32" s="1"/>
  <c r="G37" i="32"/>
  <c r="G41" i="32" s="1"/>
  <c r="B23" i="33"/>
  <c r="N23" i="33" s="1"/>
  <c r="N20" i="33"/>
  <c r="D42" i="12" l="1"/>
  <c r="D44" i="12" s="1"/>
  <c r="H35" i="12"/>
  <c r="C42" i="13"/>
  <c r="C44" i="12"/>
  <c r="F21" i="12" l="1"/>
  <c r="F29" i="12"/>
  <c r="F27" i="12"/>
  <c r="F14" i="12"/>
  <c r="F25" i="12"/>
  <c r="F13" i="12"/>
  <c r="F19" i="12"/>
  <c r="F12" i="12"/>
  <c r="F9" i="12"/>
  <c r="F18" i="12"/>
  <c r="F20" i="12"/>
  <c r="F33" i="12"/>
  <c r="F11" i="12"/>
  <c r="F28" i="12"/>
  <c r="D51" i="8" l="1"/>
  <c r="G33" i="12"/>
  <c r="I33" i="12" s="1"/>
  <c r="J33" i="12"/>
  <c r="G18" i="12"/>
  <c r="I18" i="12" s="1"/>
  <c r="J19" i="12"/>
  <c r="G19" i="12"/>
  <c r="I19" i="12" s="1"/>
  <c r="J25" i="12"/>
  <c r="G25" i="12"/>
  <c r="I25" i="12" s="1"/>
  <c r="G27" i="12"/>
  <c r="I27" i="12" s="1"/>
  <c r="G11" i="12"/>
  <c r="I11" i="12" s="1"/>
  <c r="G20" i="12"/>
  <c r="D21" i="13"/>
  <c r="E21" i="13" s="1"/>
  <c r="G12" i="12"/>
  <c r="G13" i="12"/>
  <c r="D29" i="13"/>
  <c r="G29" i="12"/>
  <c r="I29" i="12" s="1"/>
  <c r="J29" i="12" s="1"/>
  <c r="G21" i="12"/>
  <c r="I21" i="12" s="1"/>
  <c r="J21" i="12" s="1"/>
  <c r="G28" i="12"/>
  <c r="D14" i="13"/>
  <c r="E14" i="13" s="1"/>
  <c r="M135" i="38"/>
  <c r="M137" i="38" s="1"/>
  <c r="M138" i="38" s="1"/>
  <c r="G9" i="12"/>
  <c r="I9" i="12" s="1"/>
  <c r="G14" i="12"/>
  <c r="J12" i="12" l="1"/>
  <c r="I12" i="12"/>
  <c r="J20" i="12"/>
  <c r="I20" i="12"/>
  <c r="J14" i="12"/>
  <c r="I14" i="12"/>
  <c r="J28" i="12"/>
  <c r="I28" i="12"/>
  <c r="J13" i="12"/>
  <c r="I13" i="12"/>
  <c r="E29" i="13"/>
  <c r="F31" i="12" s="1"/>
  <c r="G31" i="12" s="1"/>
  <c r="D37" i="8"/>
  <c r="D44" i="8"/>
  <c r="D33" i="13"/>
  <c r="E33" i="13" s="1"/>
  <c r="D18" i="8" l="1"/>
  <c r="E18" i="8" s="1"/>
  <c r="F18" i="8" s="1"/>
  <c r="D12" i="8"/>
  <c r="E12" i="8" s="1"/>
  <c r="F12" i="8" s="1"/>
  <c r="D11" i="8"/>
  <c r="E11" i="8" s="1"/>
  <c r="F11" i="8" s="1"/>
  <c r="D14" i="8"/>
  <c r="E14" i="8" s="1"/>
  <c r="F14" i="8" s="1"/>
  <c r="D10" i="8"/>
  <c r="E10" i="8" s="1"/>
  <c r="F10" i="8" s="1"/>
  <c r="D17" i="8"/>
  <c r="E17" i="8" s="1"/>
  <c r="F17" i="8" s="1"/>
  <c r="D13" i="8"/>
  <c r="E13" i="8" s="1"/>
  <c r="F13" i="8" s="1"/>
  <c r="D9" i="8"/>
  <c r="E9" i="8" s="1"/>
  <c r="F9" i="8" s="1"/>
  <c r="D16" i="8"/>
  <c r="E16" i="8" s="1"/>
  <c r="F16" i="8" s="1"/>
  <c r="D8" i="8"/>
  <c r="E8" i="8" s="1"/>
  <c r="F8" i="8" s="1"/>
  <c r="D15" i="8"/>
  <c r="E15" i="8" s="1"/>
  <c r="F15" i="8" s="1"/>
  <c r="D7" i="8"/>
  <c r="I23" i="12"/>
  <c r="J23" i="12" s="1"/>
  <c r="J18" i="12"/>
  <c r="I31" i="12"/>
  <c r="J31" i="12" s="1"/>
  <c r="J27" i="12"/>
  <c r="E7" i="8"/>
  <c r="I16" i="12"/>
  <c r="J16" i="12" s="1"/>
  <c r="J11" i="12"/>
  <c r="F35" i="12"/>
  <c r="G35" i="12" s="1"/>
  <c r="J9" i="12"/>
  <c r="I35" i="12" l="1"/>
  <c r="J35" i="12" s="1"/>
  <c r="D20" i="8"/>
  <c r="D22" i="8" s="1"/>
  <c r="E20" i="8"/>
  <c r="F7" i="8"/>
  <c r="D24" i="8" l="1"/>
  <c r="F20" i="8"/>
  <c r="E22" i="8"/>
  <c r="F22" i="8" s="1"/>
</calcChain>
</file>

<file path=xl/comments1.xml><?xml version="1.0" encoding="utf-8"?>
<comments xmlns="http://schemas.openxmlformats.org/spreadsheetml/2006/main">
  <authors>
    <author>Chris Mickelson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Chris Mickelson:</t>
        </r>
        <r>
          <rPr>
            <sz val="9"/>
            <color indexed="81"/>
            <rFont val="Tahoma"/>
            <family val="2"/>
          </rPr>
          <t xml:space="preserve">
Based on PSE 2011 GRC Results</t>
        </r>
      </text>
    </comment>
  </commentList>
</comments>
</file>

<file path=xl/comments2.xml><?xml version="1.0" encoding="utf-8"?>
<comments xmlns="http://schemas.openxmlformats.org/spreadsheetml/2006/main">
  <authors>
    <author>Chris Mickelson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Chris Mickelson:</t>
        </r>
        <r>
          <rPr>
            <sz val="9"/>
            <color indexed="81"/>
            <rFont val="Tahoma"/>
            <family val="2"/>
          </rPr>
          <t xml:space="preserve">
Based on PSE 2011 GRC Results</t>
        </r>
      </text>
    </comment>
  </commentList>
</comments>
</file>

<file path=xl/comments3.xml><?xml version="1.0" encoding="utf-8"?>
<comments xmlns="http://schemas.openxmlformats.org/spreadsheetml/2006/main">
  <authors>
    <author>Pam Rasanen</author>
  </authors>
  <commentList>
    <comment ref="M137" authorId="0" shapeId="0">
      <text>
        <r>
          <rPr>
            <b/>
            <sz val="10"/>
            <color indexed="81"/>
            <rFont val="Tahoma"/>
            <family val="2"/>
          </rPr>
          <t>PSE:
Used MS Excel Goal Seek function to minimize the difference between the projected lighting surplus $ (Column:i,Line:127) and the amount to be spread (Column:i,Line:129), by changing $ / kWh (Column:f,Line:1) rounded to the nearest $0.000001</t>
        </r>
      </text>
    </comment>
  </commentList>
</comments>
</file>

<file path=xl/sharedStrings.xml><?xml version="1.0" encoding="utf-8"?>
<sst xmlns="http://schemas.openxmlformats.org/spreadsheetml/2006/main" count="905" uniqueCount="396">
  <si>
    <t>Schedule</t>
  </si>
  <si>
    <t>Residential</t>
  </si>
  <si>
    <t>TOTAL</t>
  </si>
  <si>
    <t>Puget Sound Energy</t>
  </si>
  <si>
    <t>Line No.</t>
  </si>
  <si>
    <t>Lighting Type</t>
  </si>
  <si>
    <t>Lamp Type</t>
  </si>
  <si>
    <t>Lamp Wattage</t>
  </si>
  <si>
    <t>Billable Watts</t>
  </si>
  <si>
    <t>Ballast Losses</t>
  </si>
  <si>
    <t># hours / month</t>
  </si>
  <si>
    <t>kWh / Month</t>
  </si>
  <si>
    <t>$ / kWh</t>
  </si>
  <si>
    <t>Street</t>
  </si>
  <si>
    <t>Flourescent</t>
  </si>
  <si>
    <t>Incandescent</t>
  </si>
  <si>
    <t>Mercury Vapor</t>
  </si>
  <si>
    <t>Metal Hallide</t>
  </si>
  <si>
    <t>Sodium Vapor</t>
  </si>
  <si>
    <t>Area</t>
  </si>
  <si>
    <t>Continuous</t>
  </si>
  <si>
    <t>Traffic Signals</t>
  </si>
  <si>
    <t>Flood</t>
  </si>
  <si>
    <t>A</t>
  </si>
  <si>
    <t>B</t>
  </si>
  <si>
    <t>C</t>
  </si>
  <si>
    <t>Residential Customer Impacts</t>
  </si>
  <si>
    <t>Customer Bill</t>
  </si>
  <si>
    <t>Month</t>
  </si>
  <si>
    <t>kWh</t>
  </si>
  <si>
    <t>Present</t>
  </si>
  <si>
    <t>Proposed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</si>
  <si>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</si>
  <si>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</si>
  <si>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</si>
  <si>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</si>
  <si>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</si>
  <si>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</si>
  <si>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</si>
  <si>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</si>
  <si>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</si>
  <si>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</si>
  <si>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</si>
  <si>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</si>
  <si>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</si>
  <si>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</si>
  <si>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</si>
  <si>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Monthly Average</t>
  </si>
  <si>
    <t>Average Cents</t>
  </si>
  <si>
    <t>Rates</t>
  </si>
  <si>
    <t>Customer Monthly Charge:</t>
  </si>
  <si>
    <t>per Month</t>
  </si>
  <si>
    <t>Energy Charge:</t>
  </si>
  <si>
    <t>Schedule 7 first 600 kWh</t>
  </si>
  <si>
    <t>¢ / kWh</t>
  </si>
  <si>
    <t>Schedule 7 over 600 kWh</t>
  </si>
  <si>
    <t>Schedule 95 - Power Cost Adjustment Clause</t>
  </si>
  <si>
    <t>Schedule 95A - Wind Power Production Credit</t>
  </si>
  <si>
    <t>Schedule 120 - Conservation Rider</t>
  </si>
  <si>
    <t>Schedule 129 - Low Income</t>
  </si>
  <si>
    <t>Schedule 194 - BPA Exchange Credit</t>
  </si>
  <si>
    <t>D</t>
  </si>
  <si>
    <t>Sec Gen Svc - Small</t>
  </si>
  <si>
    <t>Sec Gen Svc - Medium</t>
  </si>
  <si>
    <t>Sec Gen Svc - Large</t>
  </si>
  <si>
    <t>Sec Irrigation Svc</t>
  </si>
  <si>
    <t>Secondary Service Total</t>
  </si>
  <si>
    <t>Pri Gen Svc</t>
  </si>
  <si>
    <t>Pri Irrigation Svc</t>
  </si>
  <si>
    <t>Pri Interruptible Svc</t>
  </si>
  <si>
    <t>Pri Schedule 449 / 459</t>
  </si>
  <si>
    <t>Primary Service Total</t>
  </si>
  <si>
    <t>Campus Service</t>
  </si>
  <si>
    <t>HV Interruptible Svc</t>
  </si>
  <si>
    <t>HV Gen Svc</t>
  </si>
  <si>
    <t>HV Sched 449 / 459</t>
  </si>
  <si>
    <t>High Voltage Service Total</t>
  </si>
  <si>
    <t>Lights</t>
  </si>
  <si>
    <t>Total</t>
  </si>
  <si>
    <t>Firm Resale</t>
  </si>
  <si>
    <t>Total Sales</t>
  </si>
  <si>
    <t>Check</t>
  </si>
  <si>
    <t>check</t>
  </si>
  <si>
    <t>Customer Rate Impacts</t>
  </si>
  <si>
    <t>Customer Class</t>
  </si>
  <si>
    <t>$ Increase (Decrease) Due To Rate Change</t>
  </si>
  <si>
    <t>% Increase (Decrease) Due To Rate Change</t>
  </si>
  <si>
    <t>Grand Total</t>
  </si>
  <si>
    <t>Tariff</t>
  </si>
  <si>
    <t xml:space="preserve">Pri Schedule 449 </t>
  </si>
  <si>
    <t>Campus Rate</t>
  </si>
  <si>
    <t xml:space="preserve"> </t>
  </si>
  <si>
    <t>Note 1 - Includes Unbilled kWh</t>
  </si>
  <si>
    <t>E = D - C</t>
  </si>
  <si>
    <t>F=
B+(A*C)/100</t>
  </si>
  <si>
    <t>Schedule 132 - Merger Credit</t>
  </si>
  <si>
    <t>Change In Rates</t>
  </si>
  <si>
    <t>50-59</t>
  </si>
  <si>
    <t>Voltage Level</t>
  </si>
  <si>
    <t>(a)</t>
  </si>
  <si>
    <t>(b)</t>
  </si>
  <si>
    <t>(c)</t>
  </si>
  <si>
    <t>(d)</t>
  </si>
  <si>
    <t>(f)</t>
  </si>
  <si>
    <t>Total Residential</t>
  </si>
  <si>
    <t>Secondary Voltage</t>
  </si>
  <si>
    <t>Demand &lt;= 50 kW</t>
  </si>
  <si>
    <t>Demand &gt; 50 kW but &lt;= 350 kW</t>
  </si>
  <si>
    <t>Demand &gt; 350 kW</t>
  </si>
  <si>
    <t>Seasonal Irrigation &amp; Drainage Pumping</t>
  </si>
  <si>
    <t>Total Secondary Voltage</t>
  </si>
  <si>
    <t>Primary Voltage</t>
  </si>
  <si>
    <t>General Service</t>
  </si>
  <si>
    <t>Interruptible Total Electric Schools</t>
  </si>
  <si>
    <t>Total Primary Voltage</t>
  </si>
  <si>
    <t>High Voltage</t>
  </si>
  <si>
    <t>Interruptible</t>
  </si>
  <si>
    <t>Total High Voltage</t>
  </si>
  <si>
    <t>Lighting</t>
  </si>
  <si>
    <t>Retail Wheeling</t>
  </si>
  <si>
    <t>Total Choice /Retail Wheeling</t>
  </si>
  <si>
    <t>Total Jurisdictional Retail Sales</t>
  </si>
  <si>
    <t>Total Firm Resale / Special Contract</t>
  </si>
  <si>
    <t>Total Sales to Customers</t>
  </si>
  <si>
    <t>Data</t>
  </si>
  <si>
    <t>Sch 57</t>
  </si>
  <si>
    <t>Delivered Load by Rate Class</t>
  </si>
  <si>
    <t>Class</t>
  </si>
  <si>
    <t>Res</t>
  </si>
  <si>
    <t>Res Total</t>
  </si>
  <si>
    <t>Comm</t>
  </si>
  <si>
    <t>Comm Total</t>
  </si>
  <si>
    <t>Ind</t>
  </si>
  <si>
    <t>Ind Total</t>
  </si>
  <si>
    <t>Lights Total</t>
  </si>
  <si>
    <t>Firm Resale Total</t>
  </si>
  <si>
    <t>Retail Wheeling Total</t>
  </si>
  <si>
    <t>Allocate Change in Unbilled to Tariff</t>
  </si>
  <si>
    <t>Change in Unbilled by Class</t>
  </si>
  <si>
    <t>Sum of ResUnb</t>
  </si>
  <si>
    <t>Sum of ComUnb</t>
  </si>
  <si>
    <t>Sum of IndUnb</t>
  </si>
  <si>
    <t>Sum of StLUnb</t>
  </si>
  <si>
    <t>Sum of RslUnb</t>
  </si>
  <si>
    <t>Billed Sales by Class &amp; Tariff</t>
  </si>
  <si>
    <t xml:space="preserve">        Schedule 449PV - T </t>
  </si>
  <si>
    <t xml:space="preserve">        Schedule 449HV - T </t>
  </si>
  <si>
    <t xml:space="preserve">        Electric Rev Schedule Total </t>
  </si>
  <si>
    <t xml:space="preserve">     kWh (Transportation)</t>
  </si>
  <si>
    <t>LED</t>
  </si>
  <si>
    <t xml:space="preserve">        Schedule 459HV - T </t>
  </si>
  <si>
    <t>Schedule 137 - Renewable Energy Credit</t>
  </si>
  <si>
    <t>26 &amp; 26P</t>
  </si>
  <si>
    <t>Calculation of Area and Street Light Rates</t>
  </si>
  <si>
    <t xml:space="preserve">a
</t>
  </si>
  <si>
    <t xml:space="preserve">b
</t>
  </si>
  <si>
    <t>c =
b - a</t>
  </si>
  <si>
    <t xml:space="preserve">d
</t>
  </si>
  <si>
    <t>e =
(b * d) / 1000</t>
  </si>
  <si>
    <t>f =
GOAL SEEK</t>
  </si>
  <si>
    <t>g = 
e * f</t>
  </si>
  <si>
    <t xml:space="preserve">h
</t>
  </si>
  <si>
    <t>i = 
g * h * 11</t>
  </si>
  <si>
    <t>Area Lights - SV</t>
  </si>
  <si>
    <t>Area Lights - MH</t>
  </si>
  <si>
    <t>12 Month kWh</t>
  </si>
  <si>
    <t>12 Month Watts</t>
  </si>
  <si>
    <t>Directional Flood Lights - SV</t>
  </si>
  <si>
    <t>Directional Flood Lights - MH</t>
  </si>
  <si>
    <t>Horizontal Flood Lights - SV</t>
  </si>
  <si>
    <t>Horizontal Flood Lights - MH</t>
  </si>
  <si>
    <t>51, 53 &amp; 54</t>
  </si>
  <si>
    <t>30-35</t>
  </si>
  <si>
    <t>35.01-40</t>
  </si>
  <si>
    <t>40.01-45</t>
  </si>
  <si>
    <t>45.01-50</t>
  </si>
  <si>
    <t>50.01-55</t>
  </si>
  <si>
    <t>55.01-60</t>
  </si>
  <si>
    <t>60.01-65</t>
  </si>
  <si>
    <t>65.01-70</t>
  </si>
  <si>
    <t>70.01-75</t>
  </si>
  <si>
    <t>75.01-80</t>
  </si>
  <si>
    <t>80.01-85</t>
  </si>
  <si>
    <t>85.01-90</t>
  </si>
  <si>
    <t>90.01-95</t>
  </si>
  <si>
    <t>95.01-100</t>
  </si>
  <si>
    <t>100.01-105</t>
  </si>
  <si>
    <t>105.01-110</t>
  </si>
  <si>
    <t>110.01-115</t>
  </si>
  <si>
    <t>115.01-120</t>
  </si>
  <si>
    <t>120.01-125</t>
  </si>
  <si>
    <t>125.01-130</t>
  </si>
  <si>
    <t>130.01-135</t>
  </si>
  <si>
    <t>135.01-140</t>
  </si>
  <si>
    <t>140.01-145</t>
  </si>
  <si>
    <t>145-01-150</t>
  </si>
  <si>
    <t>150.01-155</t>
  </si>
  <si>
    <t>155.01-160</t>
  </si>
  <si>
    <t>160.01-165</t>
  </si>
  <si>
    <t>165.01-170</t>
  </si>
  <si>
    <t>170.01-175</t>
  </si>
  <si>
    <t>175.01-180</t>
  </si>
  <si>
    <t>180.01-185</t>
  </si>
  <si>
    <t>185.01-190</t>
  </si>
  <si>
    <t>190.01-195</t>
  </si>
  <si>
    <t>195.01-200</t>
  </si>
  <si>
    <t>200.01-205</t>
  </si>
  <si>
    <t>205.01-210</t>
  </si>
  <si>
    <t>210.01-215</t>
  </si>
  <si>
    <t>215.01-220</t>
  </si>
  <si>
    <t>220.01-225</t>
  </si>
  <si>
    <t>225.01-230</t>
  </si>
  <si>
    <t>230.01-235</t>
  </si>
  <si>
    <t>235.01-240</t>
  </si>
  <si>
    <t>240.01-245</t>
  </si>
  <si>
    <t>245.01-250</t>
  </si>
  <si>
    <t>250.01-255</t>
  </si>
  <si>
    <t>255.01-260</t>
  </si>
  <si>
    <t>260.01-265</t>
  </si>
  <si>
    <t>265.01-270</t>
  </si>
  <si>
    <t>270.01-275</t>
  </si>
  <si>
    <t>275.01-280</t>
  </si>
  <si>
    <t>280.01-285</t>
  </si>
  <si>
    <t>285.01-290</t>
  </si>
  <si>
    <t>290.01-295</t>
  </si>
  <si>
    <t>295.01-300</t>
  </si>
  <si>
    <t>Schedule 140 - Property Tax Rider</t>
  </si>
  <si>
    <t>Schedule 141 - ERF Rider - 1 Phase Basic Charge</t>
  </si>
  <si>
    <t>Schedule 141 - ERF Rider - First 600 kWh</t>
  </si>
  <si>
    <t>Schedule 141 - ERF Rider - Over 600 kWh</t>
  </si>
  <si>
    <t>Schedule 142 - Decoupling Rider</t>
  </si>
  <si>
    <t>Forecast Revenue
Oct 2014 Through
Sept 2015
(Note 2)</t>
  </si>
  <si>
    <t>For the Twelve Months ended September 2015</t>
  </si>
  <si>
    <t>kWh
October 2014 to September 2015</t>
  </si>
  <si>
    <t>Present Rates Effective 9-30-14</t>
  </si>
  <si>
    <t>Proposed Rates Effective 10-1-14</t>
  </si>
  <si>
    <t>Sum of Jan 2015</t>
  </si>
  <si>
    <t>Sum of Feb 2015</t>
  </si>
  <si>
    <t>Sum of Mar 2015</t>
  </si>
  <si>
    <t>Sum of Apr 2015</t>
  </si>
  <si>
    <t>Sum of May 2015</t>
  </si>
  <si>
    <t>Sum of Jun 2015</t>
  </si>
  <si>
    <t>Sum of Jul 2015</t>
  </si>
  <si>
    <t>Sum of Aug 2015</t>
  </si>
  <si>
    <t>Sum of Sep 2015</t>
  </si>
  <si>
    <t>Sum of Oct 2014</t>
  </si>
  <si>
    <t>Sum of Nov 2014</t>
  </si>
  <si>
    <t>Sum of Dec 2014</t>
  </si>
  <si>
    <t>F2013</t>
  </si>
  <si>
    <t>F2013 - Calibrated</t>
  </si>
  <si>
    <t>449C</t>
  </si>
  <si>
    <t>449I</t>
  </si>
  <si>
    <t>459I</t>
  </si>
  <si>
    <t>% Ind 449 - PV</t>
  </si>
  <si>
    <t>% Ind 449 - HV</t>
  </si>
  <si>
    <t xml:space="preserve">Actual - </t>
  </si>
  <si>
    <t>Transportation</t>
  </si>
  <si>
    <t>SCH_459EI</t>
  </si>
  <si>
    <t>SCH_449EI</t>
  </si>
  <si>
    <t>SCH_449EC</t>
  </si>
  <si>
    <t>SCH_05E</t>
  </si>
  <si>
    <t>SCH_57E</t>
  </si>
  <si>
    <t>SCH_54E</t>
  </si>
  <si>
    <t>SCH_53E</t>
  </si>
  <si>
    <t>SCH_52E</t>
  </si>
  <si>
    <t>SCH_51E</t>
  </si>
  <si>
    <t>SCH_50E</t>
  </si>
  <si>
    <t>SCH_25EL</t>
  </si>
  <si>
    <t>SCH_24EL</t>
  </si>
  <si>
    <t>SCH_03E</t>
  </si>
  <si>
    <t>SCH_49EI</t>
  </si>
  <si>
    <t>SCH_46EI</t>
  </si>
  <si>
    <t>SCH_40EI</t>
  </si>
  <si>
    <t>SCH_31EI</t>
  </si>
  <si>
    <t>SCH_26EI</t>
  </si>
  <si>
    <t>SCH_25EI</t>
  </si>
  <si>
    <t>SCH_24EI</t>
  </si>
  <si>
    <t>SCH_59E</t>
  </si>
  <si>
    <t>SCH_58E</t>
  </si>
  <si>
    <t>SCH_56E</t>
  </si>
  <si>
    <t>SCH_55E</t>
  </si>
  <si>
    <t>SCH_49EC</t>
  </si>
  <si>
    <t>SCH_46EC</t>
  </si>
  <si>
    <t>SCH_43E</t>
  </si>
  <si>
    <t>SCH_40EC</t>
  </si>
  <si>
    <t>SCH_35E</t>
  </si>
  <si>
    <t>SCH_31EC</t>
  </si>
  <si>
    <t>SCH_29E</t>
  </si>
  <si>
    <t>SCH_26EC</t>
  </si>
  <si>
    <t>SCH_25EC</t>
  </si>
  <si>
    <t>SCH_24EC</t>
  </si>
  <si>
    <t>SCH_12E</t>
  </si>
  <si>
    <t>SCH_11E</t>
  </si>
  <si>
    <t>SCH_10E</t>
  </si>
  <si>
    <t>SCH_8E</t>
  </si>
  <si>
    <t>SCH_7AE</t>
  </si>
  <si>
    <t>SCH_07E</t>
  </si>
  <si>
    <t>Year</t>
  </si>
  <si>
    <t>Total with</t>
  </si>
  <si>
    <t>Transport</t>
  </si>
  <si>
    <t>Resale</t>
  </si>
  <si>
    <t>Streetlight</t>
  </si>
  <si>
    <t>Industrial</t>
  </si>
  <si>
    <t>Commercial</t>
  </si>
  <si>
    <t>Net of Conservation</t>
  </si>
  <si>
    <t>Billed Sales (MWh)</t>
  </si>
  <si>
    <t>Full Load</t>
  </si>
  <si>
    <t>Station Service Losses</t>
  </si>
  <si>
    <t>Station Service</t>
  </si>
  <si>
    <t>Total Load</t>
  </si>
  <si>
    <t>Losses</t>
  </si>
  <si>
    <t>Total Delivered</t>
  </si>
  <si>
    <t>Date</t>
  </si>
  <si>
    <t>Load (MWh)</t>
  </si>
  <si>
    <t>F2013 Electric Load Forecast - Calibrated</t>
  </si>
  <si>
    <t>Total Unbilled</t>
  </si>
  <si>
    <t>Billed Sales</t>
  </si>
  <si>
    <t>Change in Unbilled</t>
  </si>
  <si>
    <t>F2013 Electric Load Forecast - Net of Conservation</t>
  </si>
  <si>
    <t>Delivered Load by Tariff (Billed + Change in Unbilled) [Source:  F2013 - Calibrated]</t>
  </si>
  <si>
    <t>Subtotal Base Monthly Charge</t>
  </si>
  <si>
    <t>Subtotal Base First 600 kWh Charge</t>
  </si>
  <si>
    <t>Subtotal Base Over 600 kWh Charge</t>
  </si>
  <si>
    <t>Energy Rider Schedules</t>
  </si>
  <si>
    <t># of Lamps @ 7-1-14</t>
  </si>
  <si>
    <t>Estimated Proforma Revenue $ / kWh</t>
  </si>
  <si>
    <t>Twelve Months ended June 2014</t>
  </si>
  <si>
    <t>Electric Rates Effective 7-1-2014</t>
  </si>
  <si>
    <t>Base Rates including Schedules 140, 141 &amp; 142</t>
  </si>
  <si>
    <t>449-459</t>
  </si>
  <si>
    <t>Billed kWh Sales</t>
  </si>
  <si>
    <t>Estimated Proforma Base Revenue
Effective 7-1-2014</t>
  </si>
  <si>
    <t>Estimated Revenue October 2014 to September 2015</t>
  </si>
  <si>
    <t>Annual Revenue per lamp
@ Proposed October 2014 Rate</t>
  </si>
  <si>
    <t>8 / 24</t>
  </si>
  <si>
    <t>11 / 25 / 7A</t>
  </si>
  <si>
    <t>12 / 26 / 26P</t>
  </si>
  <si>
    <t>3, 50 - 59</t>
  </si>
  <si>
    <t>(e) = (d) / (c)</t>
  </si>
  <si>
    <t>(g) = (e) x (f)</t>
  </si>
  <si>
    <t>Sale of Jefferson County Territory</t>
  </si>
  <si>
    <t>Allocation of Proceeds to Customers</t>
  </si>
  <si>
    <t>Jefferson County Service Territory</t>
  </si>
  <si>
    <t>Description</t>
  </si>
  <si>
    <t>Total System</t>
  </si>
  <si>
    <t>General Plant</t>
  </si>
  <si>
    <t>Low-Voltage Distribution</t>
  </si>
  <si>
    <t>High-Voltage Distribution</t>
  </si>
  <si>
    <t>Allocation of Proceeds based on Closing Plant Data</t>
  </si>
  <si>
    <t>Original Plant</t>
  </si>
  <si>
    <t>Accum. Depreciation</t>
  </si>
  <si>
    <t>Net Book Value</t>
  </si>
  <si>
    <t>Percentage of Net Book Value</t>
  </si>
  <si>
    <t>Proceeds Allocated on Closing Plant Data</t>
  </si>
  <si>
    <t>Rate Schedules</t>
  </si>
  <si>
    <t>Residential
Sch 7</t>
  </si>
  <si>
    <t>Sec Volt
Sch 24</t>
  </si>
  <si>
    <t>Sec Volt
Sch 25</t>
  </si>
  <si>
    <t>Sec Volt
Sch 26</t>
  </si>
  <si>
    <t>Pri Volt
Sch 31/35/43</t>
  </si>
  <si>
    <t>Campus
Sch 40</t>
  </si>
  <si>
    <t>High Volt
Sch 46/49</t>
  </si>
  <si>
    <t>Retail Wheeling
Sch 448/449</t>
  </si>
  <si>
    <t>Lighting
Sch 50-59</t>
  </si>
  <si>
    <t>Special Contract</t>
  </si>
  <si>
    <t>Allocation of Proceeds Across Rate Class Schedules</t>
  </si>
  <si>
    <t>General Plant Allocation Factor</t>
  </si>
  <si>
    <t>Proceeds Allocated on General Plant to Customers</t>
  </si>
  <si>
    <t>Low-Voltage Allocation Factor</t>
  </si>
  <si>
    <t>Proceeds Allocated on Low-Voltage Dist. to Customers</t>
  </si>
  <si>
    <t>High-Voltage Allocation Factor</t>
  </si>
  <si>
    <t>Proceeds Allocated on High-Voltage Dist. to Customers</t>
  </si>
  <si>
    <t>Total Allocation of Proceeds Across Rate Class Schedules</t>
  </si>
  <si>
    <t>Company Proposal using Staff's Split of Proceeds</t>
  </si>
  <si>
    <t>Difference - (Over)/Under from Company's Proposal</t>
  </si>
  <si>
    <t>Percentage of Total Allocated Proceeds excluding SC</t>
  </si>
  <si>
    <t>Allcation of SC Proceeds</t>
  </si>
  <si>
    <t>Total Allocation of Proceeds Across Rate Class Schedules exl. SC</t>
  </si>
  <si>
    <t>2014 Schedule 133</t>
  </si>
  <si>
    <t>Sale of Asset Tracker</t>
  </si>
  <si>
    <t>10 / 31</t>
  </si>
  <si>
    <t>Existing Schedule 133 Rates</t>
  </si>
  <si>
    <t>Proposed Schedule 133 Rates
Effective
10-1-14</t>
  </si>
  <si>
    <t>$ Including Existing Schedule 133 Rates</t>
  </si>
  <si>
    <t>Proposed
Sch 133
Rate
October 2014</t>
  </si>
  <si>
    <t>Schedule 133 - Sale of Asset Tracker</t>
  </si>
  <si>
    <t>2014-15 Rate Year Allocation of Proceeds to Customers</t>
  </si>
  <si>
    <t>2014-15 Proceeds Allocated on Closing Plant Data</t>
  </si>
  <si>
    <t>Allocation of SC Proceeds</t>
  </si>
  <si>
    <t>Note 2 -  Excludes Rider Schedules 95, 95a, 120, 129,132, 137 and 194
              - Includes Rider Schedules 140, 141 and 142 and Unbilled Revenue</t>
  </si>
  <si>
    <t>Forecast kWh
Dec 2014 (Note 1)</t>
  </si>
  <si>
    <t>C=
B/A *100</t>
  </si>
  <si>
    <t>Allocated Schedule 133 Revenue   (Note 2)</t>
  </si>
  <si>
    <t>Note 2 - Revenue allocated to rate groups in Docket UE-132027 were further allocated between schedules, where necessary, based on forecasted kWh.</t>
  </si>
  <si>
    <t>G=
(A*E)/100</t>
  </si>
  <si>
    <t>H=
G /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</si>
</sst>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&quot;$&quot;* #,##0.000000_);_(&quot;$&quot;* \(#,##0.000000\);_(&quot;$&quot;* &quot;-&quot;??_);_(@_)"/>
    <numFmt numFmtId="167" formatCode="_(* #,##0_);_(* \(#,##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#,##0_);[Red]\(#,##0\);&quot; &quot;"/>
    <numFmt numFmtId="171" formatCode="0.000000"/>
    <numFmt numFmtId="172" formatCode="0.000%"/>
    <numFmt numFmtId="173" formatCode="0.0000\ \¢"/>
    <numFmt numFmtId="174" formatCode="0.0000000"/>
    <numFmt numFmtId="175" formatCode="0.0000_);\(0.0000\)"/>
    <numFmt numFmtId="176" formatCode="0.0%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81"/>
      <name val="Tahom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sz val="24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171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1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69" fontId="4" fillId="0" borderId="0">
      <alignment horizontal="left" wrapText="1"/>
    </xf>
    <xf numFmtId="171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41" fontId="1" fillId="20" borderId="0"/>
    <xf numFmtId="0" fontId="9" fillId="21" borderId="1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" fillId="24" borderId="8" applyNumberFormat="0" applyFont="0" applyAlignment="0" applyProtection="0"/>
    <xf numFmtId="0" fontId="16" fillId="25" borderId="9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6" applyNumberFormat="0" applyFont="0" applyFill="0" applyAlignment="0" applyProtection="0"/>
    <xf numFmtId="0" fontId="18" fillId="0" borderId="0" applyNumberFormat="0" applyFill="0" applyBorder="0" applyAlignment="0" applyProtection="0"/>
    <xf numFmtId="171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71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0" fontId="1" fillId="0" borderId="0"/>
    <xf numFmtId="171" fontId="1" fillId="0" borderId="0">
      <alignment horizontal="left" wrapText="1"/>
    </xf>
    <xf numFmtId="171" fontId="1" fillId="0" borderId="0">
      <alignment horizontal="left" wrapText="1"/>
    </xf>
    <xf numFmtId="174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69" fontId="1" fillId="0" borderId="0">
      <alignment horizontal="left" wrapText="1"/>
    </xf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71">
    <xf numFmtId="0" fontId="0" fillId="0" borderId="0" xfId="0"/>
    <xf numFmtId="167" fontId="1" fillId="0" borderId="0" xfId="43" applyNumberFormat="1"/>
    <xf numFmtId="44" fontId="1" fillId="0" borderId="0" xfId="44"/>
    <xf numFmtId="0" fontId="0" fillId="0" borderId="0" xfId="0" applyFill="1" applyBorder="1" applyAlignment="1">
      <alignment horizontal="centerContinuous"/>
    </xf>
    <xf numFmtId="0" fontId="0" fillId="0" borderId="0" xfId="0" applyBorder="1"/>
    <xf numFmtId="0" fontId="0" fillId="0" borderId="10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/>
    </xf>
    <xf numFmtId="0" fontId="0" fillId="0" borderId="0" xfId="0" applyAlignment="1">
      <alignment horizontal="centerContinuous"/>
    </xf>
    <xf numFmtId="0" fontId="0" fillId="0" borderId="6" xfId="0" quotePrefix="1" applyBorder="1" applyAlignment="1">
      <alignment horizontal="center" wrapText="1"/>
    </xf>
    <xf numFmtId="43" fontId="0" fillId="0" borderId="0" xfId="0" applyNumberFormat="1" applyFill="1"/>
    <xf numFmtId="44" fontId="1" fillId="0" borderId="0" xfId="44" applyFill="1"/>
    <xf numFmtId="0" fontId="0" fillId="0" borderId="0" xfId="0" applyFill="1" applyAlignment="1">
      <alignment horizontal="center" wrapText="1"/>
    </xf>
    <xf numFmtId="0" fontId="0" fillId="0" borderId="0" xfId="0" quotePrefix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6" fontId="1" fillId="0" borderId="0" xfId="44" applyNumberFormat="1" applyFill="1" applyBorder="1" applyAlignment="1"/>
    <xf numFmtId="0" fontId="0" fillId="0" borderId="14" xfId="0" applyBorder="1" applyAlignment="1">
      <alignment horizontal="centerContinuous"/>
    </xf>
    <xf numFmtId="0" fontId="0" fillId="0" borderId="14" xfId="0" applyBorder="1" applyAlignment="1">
      <alignment horizontal="center" wrapText="1"/>
    </xf>
    <xf numFmtId="0" fontId="0" fillId="0" borderId="14" xfId="0" quotePrefix="1" applyBorder="1" applyAlignment="1">
      <alignment horizontal="center" wrapText="1"/>
    </xf>
    <xf numFmtId="0" fontId="0" fillId="0" borderId="0" xfId="0" applyAlignment="1">
      <alignment horizontal="center" wrapText="1"/>
    </xf>
    <xf numFmtId="10" fontId="1" fillId="0" borderId="0" xfId="56" applyNumberFormat="1"/>
    <xf numFmtId="167" fontId="0" fillId="0" borderId="13" xfId="0" applyNumberFormat="1" applyBorder="1"/>
    <xf numFmtId="44" fontId="1" fillId="0" borderId="13" xfId="44" applyBorder="1"/>
    <xf numFmtId="10" fontId="1" fillId="0" borderId="13" xfId="56" applyNumberFormat="1" applyBorder="1"/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168" fontId="1" fillId="0" borderId="18" xfId="43" applyNumberFormat="1" applyBorder="1"/>
    <xf numFmtId="168" fontId="1" fillId="0" borderId="19" xfId="43" applyNumberFormat="1" applyBorder="1"/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167" fontId="1" fillId="0" borderId="21" xfId="43" applyNumberForma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67" fontId="1" fillId="0" borderId="0" xfId="43" applyNumberFormat="1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7" fontId="1" fillId="0" borderId="10" xfId="43" quotePrefix="1" applyNumberFormat="1" applyFont="1" applyBorder="1" applyAlignment="1">
      <alignment horizontal="center" wrapText="1"/>
    </xf>
    <xf numFmtId="0" fontId="0" fillId="0" borderId="10" xfId="0" quotePrefix="1" applyBorder="1" applyAlignment="1">
      <alignment horizontal="center" wrapText="1"/>
    </xf>
    <xf numFmtId="0" fontId="0" fillId="0" borderId="26" xfId="0" quotePrefix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7" fontId="1" fillId="0" borderId="0" xfId="43" applyNumberFormat="1" applyBorder="1"/>
    <xf numFmtId="0" fontId="0" fillId="0" borderId="24" xfId="0" applyBorder="1"/>
    <xf numFmtId="0" fontId="0" fillId="0" borderId="23" xfId="0" applyBorder="1" applyAlignment="1">
      <alignment horizontal="left"/>
    </xf>
    <xf numFmtId="164" fontId="1" fillId="0" borderId="0" xfId="44" applyNumberFormat="1" applyBorder="1"/>
    <xf numFmtId="173" fontId="0" fillId="0" borderId="0" xfId="0" applyNumberFormat="1" applyBorder="1"/>
    <xf numFmtId="172" fontId="0" fillId="0" borderId="24" xfId="0" applyNumberFormat="1" applyBorder="1"/>
    <xf numFmtId="0" fontId="0" fillId="0" borderId="23" xfId="0" quotePrefix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3" xfId="0" quotePrefix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0" xfId="0" applyBorder="1" applyAlignment="1">
      <alignment horizontal="center"/>
    </xf>
    <xf numFmtId="167" fontId="1" fillId="0" borderId="10" xfId="43" applyNumberFormat="1" applyBorder="1"/>
    <xf numFmtId="0" fontId="0" fillId="0" borderId="10" xfId="0" applyBorder="1"/>
    <xf numFmtId="164" fontId="1" fillId="0" borderId="10" xfId="44" applyNumberFormat="1" applyBorder="1"/>
    <xf numFmtId="0" fontId="0" fillId="0" borderId="0" xfId="0" applyBorder="1" applyAlignment="1">
      <alignment horizontal="left"/>
    </xf>
    <xf numFmtId="164" fontId="0" fillId="0" borderId="0" xfId="0" applyNumberFormat="1" applyBorder="1"/>
    <xf numFmtId="167" fontId="1" fillId="0" borderId="0" xfId="43" applyNumberFormat="1" applyFill="1" applyBorder="1"/>
    <xf numFmtId="164" fontId="1" fillId="0" borderId="0" xfId="44" applyNumberFormat="1" applyFill="1" applyBorder="1"/>
    <xf numFmtId="167" fontId="1" fillId="0" borderId="10" xfId="43" applyNumberFormat="1" applyFont="1" applyBorder="1" applyAlignment="1">
      <alignment horizontal="center" wrapText="1"/>
    </xf>
    <xf numFmtId="0" fontId="0" fillId="0" borderId="23" xfId="0" applyBorder="1"/>
    <xf numFmtId="0" fontId="0" fillId="0" borderId="20" xfId="0" applyFill="1" applyBorder="1" applyAlignment="1">
      <alignment horizontal="centerContinuous"/>
    </xf>
    <xf numFmtId="0" fontId="0" fillId="0" borderId="21" xfId="0" applyFill="1" applyBorder="1" applyAlignment="1">
      <alignment horizontal="centerContinuous"/>
    </xf>
    <xf numFmtId="167" fontId="1" fillId="0" borderId="21" xfId="43" applyNumberFormat="1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0" fillId="0" borderId="23" xfId="0" applyFill="1" applyBorder="1" applyAlignment="1">
      <alignment horizontal="centerContinuous"/>
    </xf>
    <xf numFmtId="167" fontId="1" fillId="0" borderId="0" xfId="43" applyNumberFormat="1" applyFill="1" applyBorder="1" applyAlignment="1">
      <alignment horizontal="centerContinuous"/>
    </xf>
    <xf numFmtId="0" fontId="0" fillId="0" borderId="24" xfId="0" applyFill="1" applyBorder="1" applyAlignment="1">
      <alignment horizontal="centerContinuous"/>
    </xf>
    <xf numFmtId="0" fontId="0" fillId="0" borderId="24" xfId="0" applyFill="1" applyBorder="1"/>
    <xf numFmtId="0" fontId="0" fillId="0" borderId="25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67" fontId="1" fillId="0" borderId="10" xfId="43" applyNumberFormat="1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167" fontId="1" fillId="0" borderId="0" xfId="43" applyNumberFormat="1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167" fontId="1" fillId="0" borderId="21" xfId="43" applyNumberFormat="1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 applyAlignment="1">
      <alignment horizontal="left"/>
    </xf>
    <xf numFmtId="0" fontId="0" fillId="0" borderId="23" xfId="0" quotePrefix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0" fillId="0" borderId="23" xfId="0" quotePrefix="1" applyFill="1" applyBorder="1" applyAlignment="1">
      <alignment horizontal="left"/>
    </xf>
    <xf numFmtId="0" fontId="0" fillId="0" borderId="25" xfId="0" applyFill="1" applyBorder="1"/>
    <xf numFmtId="164" fontId="1" fillId="0" borderId="10" xfId="44" applyNumberFormat="1" applyFill="1" applyBorder="1"/>
    <xf numFmtId="0" fontId="0" fillId="0" borderId="26" xfId="0" applyFill="1" applyBorder="1"/>
    <xf numFmtId="0" fontId="0" fillId="0" borderId="27" xfId="0" pivotButton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7" xfId="0" applyBorder="1"/>
    <xf numFmtId="167" fontId="1" fillId="0" borderId="0" xfId="43" applyNumberFormat="1" applyFont="1" applyBorder="1"/>
    <xf numFmtId="164" fontId="1" fillId="0" borderId="0" xfId="44" applyNumberFormat="1" applyFont="1" applyBorder="1"/>
    <xf numFmtId="167" fontId="1" fillId="0" borderId="0" xfId="43" applyNumberFormat="1" applyFont="1" applyFill="1" applyBorder="1"/>
    <xf numFmtId="167" fontId="1" fillId="0" borderId="10" xfId="43" applyNumberFormat="1" applyFont="1" applyFill="1" applyBorder="1"/>
    <xf numFmtId="0" fontId="0" fillId="0" borderId="0" xfId="0" quotePrefix="1" applyBorder="1" applyAlignment="1">
      <alignment horizontal="left"/>
    </xf>
    <xf numFmtId="164" fontId="0" fillId="0" borderId="0" xfId="0" applyNumberFormat="1" applyFill="1" applyBorder="1"/>
    <xf numFmtId="168" fontId="1" fillId="0" borderId="18" xfId="43" applyNumberFormat="1" applyFill="1" applyBorder="1"/>
    <xf numFmtId="0" fontId="0" fillId="0" borderId="0" xfId="0" quotePrefix="1" applyFill="1" applyBorder="1" applyAlignment="1">
      <alignment horizontal="left"/>
    </xf>
    <xf numFmtId="0" fontId="19" fillId="0" borderId="0" xfId="0" applyFont="1" applyFill="1"/>
    <xf numFmtId="0" fontId="19" fillId="0" borderId="14" xfId="0" applyFont="1" applyFill="1" applyBorder="1" applyAlignment="1">
      <alignment horizontal="center" wrapText="1"/>
    </xf>
    <xf numFmtId="0" fontId="19" fillId="0" borderId="14" xfId="0" quotePrefix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quotePrefix="1" applyFont="1" applyFill="1" applyBorder="1" applyAlignment="1">
      <alignment horizontal="center" wrapText="1"/>
    </xf>
    <xf numFmtId="0" fontId="19" fillId="0" borderId="0" xfId="0" quotePrefix="1" applyFont="1" applyFill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 horizontal="left" indent="1"/>
    </xf>
    <xf numFmtId="0" fontId="19" fillId="0" borderId="0" xfId="0" applyFont="1" applyFill="1" applyAlignment="1">
      <alignment horizontal="center"/>
    </xf>
    <xf numFmtId="167" fontId="19" fillId="0" borderId="0" xfId="43" quotePrefix="1" applyNumberFormat="1" applyFont="1" applyFill="1" applyAlignment="1">
      <alignment horizontal="left"/>
    </xf>
    <xf numFmtId="164" fontId="19" fillId="0" borderId="0" xfId="44" quotePrefix="1" applyNumberFormat="1" applyFont="1" applyFill="1" applyAlignment="1">
      <alignment horizontal="left"/>
    </xf>
    <xf numFmtId="166" fontId="19" fillId="0" borderId="0" xfId="44" applyNumberFormat="1" applyFont="1" applyFill="1"/>
    <xf numFmtId="0" fontId="19" fillId="0" borderId="0" xfId="0" applyFont="1" applyFill="1" applyAlignment="1">
      <alignment horizontal="left"/>
    </xf>
    <xf numFmtId="167" fontId="19" fillId="0" borderId="3" xfId="43" applyNumberFormat="1" applyFont="1" applyFill="1" applyBorder="1"/>
    <xf numFmtId="164" fontId="19" fillId="0" borderId="3" xfId="44" applyNumberFormat="1" applyFont="1" applyFill="1" applyBorder="1"/>
    <xf numFmtId="167" fontId="19" fillId="0" borderId="0" xfId="43" applyNumberFormat="1" applyFont="1" applyFill="1" applyBorder="1"/>
    <xf numFmtId="164" fontId="19" fillId="0" borderId="0" xfId="44" applyNumberFormat="1" applyFont="1" applyFill="1" applyBorder="1"/>
    <xf numFmtId="0" fontId="19" fillId="0" borderId="0" xfId="0" quotePrefix="1" applyFont="1" applyFill="1" applyAlignment="1">
      <alignment horizontal="left" indent="1"/>
    </xf>
    <xf numFmtId="0" fontId="19" fillId="0" borderId="0" xfId="0" quotePrefix="1" applyFont="1" applyFill="1" applyAlignment="1">
      <alignment horizontal="left"/>
    </xf>
    <xf numFmtId="167" fontId="19" fillId="0" borderId="13" xfId="0" applyNumberFormat="1" applyFont="1" applyFill="1" applyBorder="1"/>
    <xf numFmtId="164" fontId="19" fillId="0" borderId="13" xfId="44" applyNumberFormat="1" applyFont="1" applyFill="1" applyBorder="1"/>
    <xf numFmtId="167" fontId="19" fillId="0" borderId="15" xfId="0" applyNumberFormat="1" applyFont="1" applyFill="1" applyBorder="1"/>
    <xf numFmtId="164" fontId="19" fillId="0" borderId="15" xfId="44" applyNumberFormat="1" applyFont="1" applyFill="1" applyBorder="1"/>
    <xf numFmtId="167" fontId="19" fillId="0" borderId="13" xfId="43" applyNumberFormat="1" applyFont="1" applyFill="1" applyBorder="1"/>
    <xf numFmtId="167" fontId="19" fillId="0" borderId="0" xfId="43" applyNumberFormat="1" applyFont="1" applyFill="1"/>
    <xf numFmtId="41" fontId="0" fillId="0" borderId="12" xfId="0" applyNumberFormat="1" applyBorder="1"/>
    <xf numFmtId="41" fontId="0" fillId="0" borderId="0" xfId="0" applyNumberFormat="1"/>
    <xf numFmtId="0" fontId="0" fillId="0" borderId="31" xfId="0" applyBorder="1"/>
    <xf numFmtId="41" fontId="0" fillId="0" borderId="11" xfId="0" applyNumberFormat="1" applyBorder="1"/>
    <xf numFmtId="41" fontId="0" fillId="0" borderId="0" xfId="0" applyNumberFormat="1" applyBorder="1"/>
    <xf numFmtId="0" fontId="0" fillId="0" borderId="32" xfId="0" applyBorder="1"/>
    <xf numFmtId="167" fontId="1" fillId="0" borderId="3" xfId="43" applyNumberFormat="1" applyBorder="1"/>
    <xf numFmtId="167" fontId="0" fillId="0" borderId="0" xfId="43" applyNumberFormat="1" applyFont="1"/>
    <xf numFmtId="170" fontId="20" fillId="0" borderId="13" xfId="0" applyNumberFormat="1" applyFont="1" applyFill="1" applyBorder="1" applyAlignment="1">
      <alignment horizontal="right"/>
    </xf>
    <xf numFmtId="41" fontId="0" fillId="0" borderId="33" xfId="0" applyNumberFormat="1" applyBorder="1"/>
    <xf numFmtId="41" fontId="0" fillId="0" borderId="18" xfId="0" applyNumberFormat="1" applyBorder="1"/>
    <xf numFmtId="41" fontId="0" fillId="0" borderId="34" xfId="0" applyNumberFormat="1" applyBorder="1"/>
    <xf numFmtId="43" fontId="20" fillId="0" borderId="0" xfId="43" applyFont="1" applyFill="1" applyAlignment="1">
      <alignment horizontal="right"/>
    </xf>
    <xf numFmtId="49" fontId="21" fillId="0" borderId="14" xfId="0" quotePrefix="1" applyNumberFormat="1" applyFont="1" applyBorder="1" applyAlignment="1">
      <alignment horizontal="center" wrapText="1"/>
    </xf>
    <xf numFmtId="49" fontId="21" fillId="0" borderId="14" xfId="0" applyNumberFormat="1" applyFont="1" applyFill="1" applyBorder="1" applyAlignment="1">
      <alignment horizontal="center" wrapText="1"/>
    </xf>
    <xf numFmtId="170" fontId="20" fillId="0" borderId="0" xfId="0" applyNumberFormat="1" applyFont="1" applyAlignment="1">
      <alignment horizontal="left"/>
    </xf>
    <xf numFmtId="170" fontId="20" fillId="0" borderId="0" xfId="0" applyNumberFormat="1" applyFont="1" applyFill="1" applyAlignment="1">
      <alignment horizontal="right"/>
    </xf>
    <xf numFmtId="170" fontId="20" fillId="0" borderId="13" xfId="0" applyNumberFormat="1" applyFont="1" applyBorder="1" applyAlignment="1">
      <alignment horizontal="left"/>
    </xf>
    <xf numFmtId="170" fontId="20" fillId="0" borderId="13" xfId="0" applyNumberFormat="1" applyFont="1" applyBorder="1" applyAlignment="1">
      <alignment horizontal="right"/>
    </xf>
    <xf numFmtId="167" fontId="0" fillId="0" borderId="0" xfId="0" applyNumberFormat="1"/>
    <xf numFmtId="170" fontId="21" fillId="22" borderId="10" xfId="0" quotePrefix="1" applyNumberFormat="1" applyFont="1" applyFill="1" applyBorder="1" applyAlignment="1">
      <alignment horizontal="left"/>
    </xf>
    <xf numFmtId="0" fontId="0" fillId="0" borderId="12" xfId="0" quotePrefix="1" applyBorder="1" applyAlignment="1">
      <alignment horizontal="left"/>
    </xf>
    <xf numFmtId="0" fontId="0" fillId="0" borderId="33" xfId="0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pivotButton="1" applyBorder="1"/>
    <xf numFmtId="0" fontId="0" fillId="0" borderId="37" xfId="0" applyBorder="1"/>
    <xf numFmtId="0" fontId="0" fillId="0" borderId="38" xfId="0" applyBorder="1"/>
    <xf numFmtId="41" fontId="0" fillId="0" borderId="39" xfId="0" applyNumberFormat="1" applyBorder="1"/>
    <xf numFmtId="41" fontId="0" fillId="0" borderId="40" xfId="0" applyNumberFormat="1" applyBorder="1"/>
    <xf numFmtId="41" fontId="0" fillId="0" borderId="41" xfId="0" applyNumberFormat="1" applyBorder="1"/>
    <xf numFmtId="41" fontId="0" fillId="0" borderId="42" xfId="0" applyNumberFormat="1" applyBorder="1"/>
    <xf numFmtId="41" fontId="0" fillId="0" borderId="43" xfId="0" applyNumberFormat="1" applyBorder="1"/>
    <xf numFmtId="41" fontId="0" fillId="0" borderId="44" xfId="0" applyNumberFormat="1" applyBorder="1"/>
    <xf numFmtId="41" fontId="0" fillId="0" borderId="45" xfId="0" applyNumberFormat="1" applyBorder="1"/>
    <xf numFmtId="0" fontId="0" fillId="0" borderId="32" xfId="0" applyBorder="1" applyAlignment="1">
      <alignment horizontal="center"/>
    </xf>
    <xf numFmtId="0" fontId="0" fillId="0" borderId="36" xfId="0" quotePrefix="1" applyBorder="1" applyAlignment="1">
      <alignment horizontal="left"/>
    </xf>
    <xf numFmtId="0" fontId="0" fillId="0" borderId="15" xfId="0" applyBorder="1"/>
    <xf numFmtId="0" fontId="0" fillId="0" borderId="46" xfId="0" applyBorder="1"/>
    <xf numFmtId="0" fontId="0" fillId="0" borderId="41" xfId="0" applyBorder="1" applyAlignment="1">
      <alignment horizontal="left" indent="1"/>
    </xf>
    <xf numFmtId="0" fontId="0" fillId="0" borderId="41" xfId="0" applyBorder="1"/>
    <xf numFmtId="167" fontId="1" fillId="0" borderId="47" xfId="43" applyNumberFormat="1" applyBorder="1"/>
    <xf numFmtId="0" fontId="0" fillId="0" borderId="48" xfId="0" applyBorder="1"/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3" xfId="0" pivotButton="1" applyBorder="1"/>
    <xf numFmtId="0" fontId="0" fillId="0" borderId="49" xfId="0" applyBorder="1"/>
    <xf numFmtId="0" fontId="0" fillId="0" borderId="50" xfId="0" applyBorder="1"/>
    <xf numFmtId="0" fontId="0" fillId="0" borderId="34" xfId="0" applyBorder="1"/>
    <xf numFmtId="17" fontId="21" fillId="0" borderId="14" xfId="0" applyNumberFormat="1" applyFont="1" applyFill="1" applyBorder="1" applyAlignment="1">
      <alignment horizontal="center" wrapText="1"/>
    </xf>
    <xf numFmtId="41" fontId="0" fillId="22" borderId="12" xfId="0" applyNumberFormat="1" applyFill="1" applyBorder="1"/>
    <xf numFmtId="41" fontId="0" fillId="22" borderId="0" xfId="0" applyNumberFormat="1" applyFill="1" applyBorder="1"/>
    <xf numFmtId="41" fontId="0" fillId="22" borderId="44" xfId="0" applyNumberFormat="1" applyFill="1" applyBorder="1"/>
    <xf numFmtId="170" fontId="20" fillId="22" borderId="0" xfId="0" applyNumberFormat="1" applyFont="1" applyFill="1" applyAlignment="1">
      <alignment horizontal="right"/>
    </xf>
    <xf numFmtId="167" fontId="1" fillId="22" borderId="0" xfId="43" applyNumberFormat="1" applyFill="1" applyBorder="1"/>
    <xf numFmtId="0" fontId="0" fillId="0" borderId="0" xfId="0" applyFill="1" applyBorder="1" applyAlignment="1">
      <alignment horizontal="left"/>
    </xf>
    <xf numFmtId="41" fontId="0" fillId="0" borderId="0" xfId="0" applyNumberFormat="1" applyFill="1" applyBorder="1"/>
    <xf numFmtId="167" fontId="0" fillId="0" borderId="0" xfId="0" applyNumberFormat="1" applyFill="1" applyBorder="1"/>
    <xf numFmtId="0" fontId="3" fillId="0" borderId="23" xfId="0" applyFont="1" applyFill="1" applyBorder="1"/>
    <xf numFmtId="0" fontId="3" fillId="0" borderId="25" xfId="0" applyFont="1" applyFill="1" applyBorder="1" applyAlignment="1">
      <alignment horizontal="center" wrapText="1"/>
    </xf>
    <xf numFmtId="0" fontId="3" fillId="0" borderId="10" xfId="0" quotePrefix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53" xfId="0" quotePrefix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0" fontId="0" fillId="0" borderId="54" xfId="0" quotePrefix="1" applyFill="1" applyBorder="1" applyAlignment="1">
      <alignment horizontal="center" wrapText="1"/>
    </xf>
    <xf numFmtId="0" fontId="1" fillId="0" borderId="0" xfId="43" applyNumberFormat="1" applyFill="1" applyBorder="1" applyAlignment="1">
      <alignment horizontal="center"/>
    </xf>
    <xf numFmtId="166" fontId="1" fillId="26" borderId="0" xfId="44" applyNumberFormat="1" applyFill="1" applyBorder="1" applyAlignment="1"/>
    <xf numFmtId="44" fontId="0" fillId="26" borderId="54" xfId="0" applyNumberFormat="1" applyFill="1" applyBorder="1"/>
    <xf numFmtId="44" fontId="0" fillId="0" borderId="54" xfId="0" applyNumberForma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43" applyNumberFormat="1" applyFont="1" applyFill="1" applyBorder="1" applyAlignment="1">
      <alignment horizontal="center"/>
    </xf>
    <xf numFmtId="0" fontId="1" fillId="0" borderId="0" xfId="43" quotePrefix="1" applyNumberFormat="1" applyFont="1" applyFill="1" applyBorder="1" applyAlignment="1">
      <alignment horizontal="center"/>
    </xf>
    <xf numFmtId="167" fontId="1" fillId="0" borderId="0" xfId="43" quotePrefix="1" applyNumberFormat="1" applyFont="1" applyFill="1" applyBorder="1" applyAlignment="1">
      <alignment horizontal="left"/>
    </xf>
    <xf numFmtId="165" fontId="0" fillId="26" borderId="54" xfId="0" applyNumberFormat="1" applyFill="1" applyBorder="1"/>
    <xf numFmtId="167" fontId="1" fillId="0" borderId="0" xfId="43" applyNumberFormat="1" applyFont="1" applyFill="1" applyBorder="1" applyAlignment="1">
      <alignment horizontal="center"/>
    </xf>
    <xf numFmtId="0" fontId="0" fillId="0" borderId="54" xfId="0" applyFill="1" applyBorder="1"/>
    <xf numFmtId="43" fontId="1" fillId="0" borderId="0" xfId="43" applyNumberFormat="1" applyFill="1" applyBorder="1"/>
    <xf numFmtId="44" fontId="1" fillId="0" borderId="0" xfId="44" applyFill="1" applyBorder="1"/>
    <xf numFmtId="43" fontId="0" fillId="0" borderId="0" xfId="0" applyNumberFormat="1" applyFill="1" applyBorder="1"/>
    <xf numFmtId="164" fontId="0" fillId="27" borderId="0" xfId="0" applyNumberFormat="1" applyFill="1" applyBorder="1"/>
    <xf numFmtId="0" fontId="0" fillId="0" borderId="55" xfId="0" applyFill="1" applyBorder="1"/>
    <xf numFmtId="9" fontId="0" fillId="0" borderId="10" xfId="56" applyFont="1" applyFill="1" applyBorder="1"/>
    <xf numFmtId="0" fontId="3" fillId="0" borderId="0" xfId="0" applyFont="1" applyFill="1"/>
    <xf numFmtId="164" fontId="0" fillId="28" borderId="0" xfId="0" applyNumberForma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quotePrefix="1" applyFont="1" applyFill="1" applyAlignment="1">
      <alignment horizontal="left" indent="1"/>
    </xf>
    <xf numFmtId="44" fontId="1" fillId="0" borderId="33" xfId="44" applyBorder="1"/>
    <xf numFmtId="173" fontId="1" fillId="0" borderId="18" xfId="0" quotePrefix="1" applyNumberFormat="1" applyFont="1" applyFill="1" applyBorder="1" applyAlignment="1"/>
    <xf numFmtId="44" fontId="1" fillId="0" borderId="18" xfId="44" applyFont="1" applyFill="1" applyBorder="1"/>
    <xf numFmtId="173" fontId="1" fillId="0" borderId="19" xfId="0" quotePrefix="1" applyNumberFormat="1" applyFont="1" applyFill="1" applyBorder="1" applyAlignment="1"/>
    <xf numFmtId="172" fontId="0" fillId="0" borderId="26" xfId="0" applyNumberFormat="1" applyBorder="1"/>
    <xf numFmtId="0" fontId="0" fillId="0" borderId="0" xfId="0" quotePrefix="1" applyFill="1" applyBorder="1" applyAlignment="1">
      <alignment horizontal="left" indent="1"/>
    </xf>
    <xf numFmtId="170" fontId="20" fillId="0" borderId="0" xfId="0" applyNumberFormat="1" applyFont="1" applyFill="1" applyBorder="1" applyAlignment="1">
      <alignment horizontal="left"/>
    </xf>
    <xf numFmtId="170" fontId="20" fillId="0" borderId="0" xfId="0" quotePrefix="1" applyNumberFormat="1" applyFont="1" applyFill="1" applyBorder="1" applyAlignment="1">
      <alignment horizontal="left"/>
    </xf>
    <xf numFmtId="9" fontId="0" fillId="0" borderId="0" xfId="56" applyFont="1"/>
    <xf numFmtId="9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0" xfId="0" applyFill="1" applyBorder="1"/>
    <xf numFmtId="0" fontId="0" fillId="0" borderId="0" xfId="0" applyFill="1" applyAlignment="1">
      <alignment horizontal="center"/>
    </xf>
    <xf numFmtId="167" fontId="0" fillId="0" borderId="54" xfId="0" applyNumberFormat="1" applyFill="1" applyBorder="1"/>
    <xf numFmtId="167" fontId="0" fillId="0" borderId="24" xfId="0" applyNumberFormat="1" applyFill="1" applyBorder="1"/>
    <xf numFmtId="0" fontId="0" fillId="0" borderId="0" xfId="0" applyFill="1" applyBorder="1"/>
    <xf numFmtId="167" fontId="0" fillId="0" borderId="0" xfId="0" applyNumberFormat="1" applyFont="1" applyFill="1" applyBorder="1"/>
    <xf numFmtId="167" fontId="0" fillId="0" borderId="23" xfId="0" applyNumberFormat="1" applyFont="1" applyFill="1" applyBorder="1"/>
    <xf numFmtId="167" fontId="0" fillId="0" borderId="54" xfId="0" applyNumberFormat="1" applyFont="1" applyFill="1" applyBorder="1"/>
    <xf numFmtId="167" fontId="0" fillId="0" borderId="24" xfId="0" applyNumberFormat="1" applyFont="1" applyFill="1" applyBorder="1"/>
    <xf numFmtId="0" fontId="0" fillId="0" borderId="54" xfId="0" applyFill="1" applyBorder="1"/>
    <xf numFmtId="0" fontId="0" fillId="0" borderId="24" xfId="0" applyFill="1" applyBorder="1"/>
    <xf numFmtId="0" fontId="0" fillId="0" borderId="23" xfId="0" applyFill="1" applyBorder="1"/>
    <xf numFmtId="0" fontId="0" fillId="0" borderId="5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/>
    <xf numFmtId="0" fontId="0" fillId="0" borderId="58" xfId="0" applyFill="1" applyBorder="1"/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0" borderId="14" xfId="0" applyFill="1" applyBorder="1"/>
    <xf numFmtId="0" fontId="24" fillId="0" borderId="0" xfId="0" applyFont="1" applyFill="1" applyBorder="1" applyAlignment="1"/>
    <xf numFmtId="0" fontId="24" fillId="0" borderId="14" xfId="0" applyFont="1" applyFill="1" applyBorder="1" applyAlignment="1"/>
    <xf numFmtId="167" fontId="0" fillId="0" borderId="0" xfId="0" applyNumberFormat="1" applyFont="1" applyFill="1"/>
    <xf numFmtId="167" fontId="0" fillId="0" borderId="0" xfId="0" applyNumberFormat="1"/>
    <xf numFmtId="14" fontId="0" fillId="0" borderId="0" xfId="0" applyNumberFormat="1"/>
    <xf numFmtId="167" fontId="0" fillId="0" borderId="0" xfId="0" applyNumberFormat="1" applyFont="1" applyBorder="1"/>
    <xf numFmtId="167" fontId="0" fillId="0" borderId="23" xfId="0" applyNumberFormat="1" applyFont="1" applyBorder="1"/>
    <xf numFmtId="167" fontId="0" fillId="0" borderId="24" xfId="0" applyNumberFormat="1" applyBorder="1"/>
    <xf numFmtId="0" fontId="0" fillId="0" borderId="24" xfId="0" applyBorder="1"/>
    <xf numFmtId="0" fontId="0" fillId="0" borderId="0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25" fillId="0" borderId="0" xfId="0" applyFont="1"/>
    <xf numFmtId="0" fontId="26" fillId="0" borderId="0" xfId="0" quotePrefix="1" applyFont="1" applyAlignment="1">
      <alignment horizontal="left"/>
    </xf>
    <xf numFmtId="0" fontId="0" fillId="0" borderId="23" xfId="0" applyFill="1" applyBorder="1" applyAlignment="1">
      <alignment horizontal="center"/>
    </xf>
    <xf numFmtId="0" fontId="24" fillId="0" borderId="0" xfId="0" quotePrefix="1" applyFont="1" applyFill="1" applyBorder="1" applyAlignment="1">
      <alignment horizontal="left"/>
    </xf>
    <xf numFmtId="0" fontId="0" fillId="0" borderId="0" xfId="0" quotePrefix="1" applyFill="1" applyBorder="1" applyAlignment="1">
      <alignment horizontal="center"/>
    </xf>
    <xf numFmtId="41" fontId="0" fillId="0" borderId="39" xfId="0" applyNumberFormat="1" applyFill="1" applyBorder="1"/>
    <xf numFmtId="41" fontId="0" fillId="0" borderId="0" xfId="0" applyNumberFormat="1" applyFill="1"/>
    <xf numFmtId="41" fontId="0" fillId="0" borderId="12" xfId="0" applyNumberFormat="1" applyFill="1" applyBorder="1"/>
    <xf numFmtId="41" fontId="0" fillId="0" borderId="41" xfId="0" applyNumberFormat="1" applyFill="1" applyBorder="1"/>
    <xf numFmtId="0" fontId="0" fillId="0" borderId="0" xfId="0"/>
    <xf numFmtId="0" fontId="0" fillId="0" borderId="0" xfId="0" applyFill="1"/>
    <xf numFmtId="44" fontId="1" fillId="0" borderId="61" xfId="44" applyBorder="1"/>
    <xf numFmtId="173" fontId="1" fillId="0" borderId="61" xfId="0" quotePrefix="1" applyNumberFormat="1" applyFont="1" applyFill="1" applyBorder="1" applyAlignment="1"/>
    <xf numFmtId="0" fontId="0" fillId="0" borderId="0" xfId="0" quotePrefix="1" applyAlignment="1">
      <alignment horizontal="left" indent="2"/>
    </xf>
    <xf numFmtId="0" fontId="1" fillId="0" borderId="0" xfId="0" applyFont="1" applyFill="1" applyAlignment="1">
      <alignment horizontal="left" indent="2"/>
    </xf>
    <xf numFmtId="0" fontId="1" fillId="0" borderId="0" xfId="0" quotePrefix="1" applyFont="1" applyFill="1" applyAlignment="1">
      <alignment horizontal="left" indent="2"/>
    </xf>
    <xf numFmtId="0" fontId="0" fillId="0" borderId="0" xfId="0" quotePrefix="1" applyAlignment="1">
      <alignment horizontal="left" indent="3"/>
    </xf>
    <xf numFmtId="0" fontId="0" fillId="0" borderId="0" xfId="0" quotePrefix="1" applyFill="1" applyBorder="1" applyAlignment="1">
      <alignment horizontal="left" indent="2"/>
    </xf>
    <xf numFmtId="0" fontId="0" fillId="0" borderId="0" xfId="0" applyAlignment="1">
      <alignment horizontal="left" indent="2"/>
    </xf>
    <xf numFmtId="173" fontId="1" fillId="29" borderId="18" xfId="0" quotePrefix="1" applyNumberFormat="1" applyFont="1" applyFill="1" applyBorder="1" applyAlignment="1"/>
    <xf numFmtId="168" fontId="1" fillId="29" borderId="18" xfId="43" applyNumberFormat="1" applyFill="1" applyBorder="1"/>
    <xf numFmtId="0" fontId="0" fillId="29" borderId="0" xfId="0" quotePrefix="1" applyFill="1" applyAlignment="1">
      <alignment horizontal="left" indent="2"/>
    </xf>
    <xf numFmtId="0" fontId="0" fillId="29" borderId="0" xfId="0" applyFill="1"/>
    <xf numFmtId="0" fontId="0" fillId="29" borderId="0" xfId="0" applyFill="1"/>
    <xf numFmtId="0" fontId="0" fillId="0" borderId="42" xfId="0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6" fontId="0" fillId="0" borderId="0" xfId="0" quotePrefix="1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3" xfId="0" applyFont="1" applyBorder="1" applyAlignment="1">
      <alignment horizontal="center" wrapText="1"/>
    </xf>
    <xf numFmtId="0" fontId="28" fillId="0" borderId="62" xfId="0" applyFont="1" applyBorder="1" applyAlignment="1">
      <alignment horizontal="center" wrapText="1"/>
    </xf>
    <xf numFmtId="0" fontId="28" fillId="0" borderId="47" xfId="0" applyFont="1" applyBorder="1" applyAlignment="1">
      <alignment horizontal="center" wrapText="1"/>
    </xf>
    <xf numFmtId="0" fontId="30" fillId="0" borderId="14" xfId="0" applyFont="1" applyBorder="1" applyAlignment="1">
      <alignment horizontal="left"/>
    </xf>
    <xf numFmtId="0" fontId="28" fillId="0" borderId="0" xfId="0" applyFont="1" applyBorder="1" applyAlignment="1">
      <alignment horizontal="center" wrapText="1"/>
    </xf>
    <xf numFmtId="0" fontId="28" fillId="0" borderId="0" xfId="0" applyFont="1" applyAlignment="1">
      <alignment horizontal="right"/>
    </xf>
    <xf numFmtId="164" fontId="28" fillId="0" borderId="0" xfId="0" applyNumberFormat="1" applyFont="1"/>
    <xf numFmtId="43" fontId="28" fillId="0" borderId="0" xfId="43" applyFont="1"/>
    <xf numFmtId="0" fontId="28" fillId="0" borderId="14" xfId="0" applyFont="1" applyBorder="1"/>
    <xf numFmtId="164" fontId="28" fillId="0" borderId="14" xfId="0" applyNumberFormat="1" applyFont="1" applyBorder="1"/>
    <xf numFmtId="176" fontId="28" fillId="0" borderId="0" xfId="56" applyNumberFormat="1" applyFont="1"/>
    <xf numFmtId="176" fontId="28" fillId="0" borderId="0" xfId="0" applyNumberFormat="1" applyFont="1"/>
    <xf numFmtId="164" fontId="31" fillId="30" borderId="0" xfId="0" applyNumberFormat="1" applyFont="1" applyFill="1" applyAlignment="1">
      <alignment horizontal="center" wrapText="1"/>
    </xf>
    <xf numFmtId="164" fontId="32" fillId="31" borderId="0" xfId="0" applyNumberFormat="1" applyFont="1" applyFill="1"/>
    <xf numFmtId="164" fontId="33" fillId="32" borderId="0" xfId="0" applyNumberFormat="1" applyFont="1" applyFill="1"/>
    <xf numFmtId="164" fontId="28" fillId="33" borderId="0" xfId="0" applyNumberFormat="1" applyFont="1" applyFill="1"/>
    <xf numFmtId="44" fontId="28" fillId="0" borderId="0" xfId="0" applyNumberFormat="1" applyFont="1"/>
    <xf numFmtId="0" fontId="29" fillId="0" borderId="14" xfId="0" applyFont="1" applyBorder="1" applyAlignment="1">
      <alignment horizontal="center"/>
    </xf>
    <xf numFmtId="0" fontId="29" fillId="0" borderId="13" xfId="0" applyFont="1" applyBorder="1"/>
    <xf numFmtId="164" fontId="31" fillId="30" borderId="13" xfId="0" applyNumberFormat="1" applyFont="1" applyFill="1" applyBorder="1"/>
    <xf numFmtId="164" fontId="28" fillId="0" borderId="13" xfId="0" applyNumberFormat="1" applyFont="1" applyBorder="1"/>
    <xf numFmtId="0" fontId="30" fillId="0" borderId="13" xfId="0" applyFont="1" applyBorder="1"/>
    <xf numFmtId="164" fontId="34" fillId="30" borderId="13" xfId="0" applyNumberFormat="1" applyFont="1" applyFill="1" applyBorder="1"/>
    <xf numFmtId="164" fontId="27" fillId="0" borderId="13" xfId="0" applyNumberFormat="1" applyFont="1" applyBorder="1"/>
    <xf numFmtId="173" fontId="0" fillId="0" borderId="24" xfId="0" applyNumberFormat="1" applyFill="1" applyBorder="1"/>
    <xf numFmtId="0" fontId="1" fillId="0" borderId="24" xfId="0" quotePrefix="1" applyFont="1" applyFill="1" applyBorder="1" applyAlignment="1">
      <alignment horizontal="center" wrapText="1"/>
    </xf>
    <xf numFmtId="0" fontId="1" fillId="0" borderId="10" xfId="0" quotePrefix="1" applyFont="1" applyFill="1" applyBorder="1" applyAlignment="1">
      <alignment horizontal="center" wrapText="1"/>
    </xf>
    <xf numFmtId="0" fontId="1" fillId="0" borderId="26" xfId="0" quotePrefix="1" applyFont="1" applyBorder="1" applyAlignment="1">
      <alignment horizontal="center" wrapText="1"/>
    </xf>
    <xf numFmtId="0" fontId="1" fillId="0" borderId="10" xfId="0" quotePrefix="1" applyFont="1" applyBorder="1" applyAlignment="1">
      <alignment horizontal="center" wrapText="1"/>
    </xf>
    <xf numFmtId="0" fontId="29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quotePrefix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1" xfId="0" quotePrefix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52" xfId="0" quotePrefix="1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23" fillId="0" borderId="0" xfId="0" quotePrefix="1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4" fillId="0" borderId="59" xfId="0" applyFont="1" applyFill="1" applyBorder="1" applyAlignment="1">
      <alignment horizontal="center"/>
    </xf>
    <xf numFmtId="0" fontId="24" fillId="0" borderId="58" xfId="0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/>
    </xf>
  </cellXfs>
  <cellStyles count="94">
    <cellStyle name=" 1" xfId="86"/>
    <cellStyle name=" 1 2" xfId="87"/>
    <cellStyle name=" 1 3" xfId="88"/>
    <cellStyle name="_4.06E Pass Throughs_04 07E Wild Horse Wind Expansion (C) (2)_Electric Rev Req Model (2009 GRC) " xfId="60"/>
    <cellStyle name="_4.06E Pass Throughs_2010 PTC's July1_Dec31 2010 " xfId="1"/>
    <cellStyle name="_4.13E Montana Energy Tax_04 07E Wild Horse Wind Expansion (C) (2)_Electric Rev Req Model (2009 GRC) " xfId="61"/>
    <cellStyle name="_4.13E Montana Energy Tax_2010 PTC's July1_Dec31 2010 " xfId="2"/>
    <cellStyle name="_Book1 (2)_04 07E Wild Horse Wind Expansion (C) (2)_Electric Rev Req Model (2009 GRC) " xfId="62"/>
    <cellStyle name="_Book1 (2)_2010 PTC's July1_Dec31 2010 " xfId="3"/>
    <cellStyle name="_Book2_04 07E Wild Horse Wind Expansion (C) (2)_Electric Rev Req Model (2009 GRC) " xfId="63"/>
    <cellStyle name="_Book2_2010 PTC's July1_Dec31 2010 " xfId="4"/>
    <cellStyle name="_Chelan Debt Forecast 12.19.05_2010 PTC's July1_Dec31 2010 " xfId="5"/>
    <cellStyle name="_Costs not in AURORA 06GRC_04 07E Wild Horse Wind Expansion (C) (2)_Electric Rev Req Model (2009 GRC) " xfId="64"/>
    <cellStyle name="_Costs not in AURORA 06GRC_2010 PTC's July1_Dec31 2010 " xfId="6"/>
    <cellStyle name="_Costs not in AURORA 2006GRC 6.15.06_04 07E Wild Horse Wind Expansion (C) (2)_Electric Rev Req Model (2009 GRC) " xfId="65"/>
    <cellStyle name="_Costs not in AURORA 2006GRC 6.15.06_2010 PTC's July1_Dec31 2010 " xfId="7"/>
    <cellStyle name="_Costs not in AURORA 2006GRC w gas price updated_Electric Rev Req Model (2009 GRC) " xfId="66"/>
    <cellStyle name="_Costs not in KWI3000 '06Budget_2010 PTC's July1_Dec31 2010 " xfId="8"/>
    <cellStyle name="_DEM-WP (C) Power Cost 2006GRC Order_04 07E Wild Horse Wind Expansion (C) (2)_Electric Rev Req Model (2009 GRC) " xfId="67"/>
    <cellStyle name="_DEM-WP Revised (HC) Wild Horse 2006GRC_Electric Rev Req Model (2009 GRC) " xfId="68"/>
    <cellStyle name="_DEM-WP(C) Costs not in AURORA 2007GRC_Electric Rev Req Model (2009 GRC) " xfId="69"/>
    <cellStyle name="_DEM-WP(C) Costs not in AURORA 2007PCORC-5.07Update_Electric Rev Req Model (2009 GRC) " xfId="70"/>
    <cellStyle name="_DEM-WP(C) Westside Hydro Data_051007_Electric Rev Req Model (2009 GRC) " xfId="71"/>
    <cellStyle name="_x0013__Electric Rev Req Model (2009 GRC) " xfId="72"/>
    <cellStyle name="_Fuel Prices 4-14_04 07E Wild Horse Wind Expansion (C) (2)_Electric Rev Req Model (2009 GRC) " xfId="73"/>
    <cellStyle name="_Fuel Prices 4-14_2010 PTC's July1_Dec31 2010 " xfId="9"/>
    <cellStyle name="_Fuel Prices 4-14_Sch 40 Interim Energy Rates " xfId="74"/>
    <cellStyle name="_NIM 06 Base Case Current Trends_Electric Rev Req Model (2009 GRC) " xfId="75"/>
    <cellStyle name="_Portfolio SPlan Base Case.xls Chart 1_Electric Rev Req Model (2009 GRC) " xfId="76"/>
    <cellStyle name="_Portfolio SPlan Base Case.xls Chart 2_Electric Rev Req Model (2009 GRC) " xfId="77"/>
    <cellStyle name="_Portfolio SPlan Base Case.xls Chart 3_Electric Rev Req Model (2009 GRC) " xfId="78"/>
    <cellStyle name="_Power Cost Value Copy 11.30.05 gas 1.09.06 AURORA at 1.10.06_04 07E Wild Horse Wind Expansion (C) (2)_Electric Rev Req Model (2009 GRC) " xfId="79"/>
    <cellStyle name="_Power Cost Value Copy 11.30.05 gas 1.09.06 AURORA at 1.10.06_2010 PTC's July1_Dec31 2010 " xfId="10"/>
    <cellStyle name="_Power Cost Value Copy 11.30.05 gas 1.09.06 AURORA at 1.10.06_Sch 40 Interim Energy Rates " xfId="80"/>
    <cellStyle name="_Recon to Darrin's 5.11.05 proforma_2010 PTC's July1_Dec31 2010 " xfId="11"/>
    <cellStyle name="_Value Copy 11 30 05 gas 12 09 05 AURORA at 12 14 05_04 07E Wild Horse Wind Expansion (C) (2)_Electric Rev Req Model (2009 GRC) " xfId="81"/>
    <cellStyle name="_Value Copy 11 30 05 gas 12 09 05 AURORA at 12 14 05_2010 PTC's July1_Dec31 2010 " xfId="12"/>
    <cellStyle name="_Value Copy 11 30 05 gas 12 09 05 AURORA at 12 14 05_Sch 40 Interim Energy Rates " xfId="82"/>
    <cellStyle name="_VC 6.15.06 update on 06GRC power costs.xls Chart 1_04 07E Wild Horse Wind Expansion (C) (2)_Electric Rev Req Model (2009 GRC) " xfId="83"/>
    <cellStyle name="_VC 6.15.06 update on 06GRC power costs.xls Chart 1_2010 PTC's July1_Dec31 2010 " xfId="13"/>
    <cellStyle name="_VC 6.15.06 update on 06GRC power costs.xls Chart 2_04 07E Wild Horse Wind Expansion (C) (2)_Electric Rev Req Model (2009 GRC) " xfId="84"/>
    <cellStyle name="_VC 6.15.06 update on 06GRC power costs.xls Chart 2_2010 PTC's July1_Dec31 2010 " xfId="14"/>
    <cellStyle name="_VC 6.15.06 update on 06GRC power costs.xls Chart 3_04 07E Wild Horse Wind Expansion (C) (2)_Electric Rev Req Model (2009 GRC) " xfId="85"/>
    <cellStyle name="_VC 6.15.06 update on 06GRC power costs.xls Chart 3_2010 PTC's July1_Dec31 2010 " xfId="15"/>
    <cellStyle name="20% - Accent1" xfId="16" builtinId="30" customBuiltin="1"/>
    <cellStyle name="20% - Accent2" xfId="17" builtinId="34" customBuiltin="1"/>
    <cellStyle name="20% - Accent3" xfId="18" builtinId="38" customBuiltin="1"/>
    <cellStyle name="20% - Accent4" xfId="19" builtinId="42" customBuiltin="1"/>
    <cellStyle name="20% - Accent5" xfId="20" builtinId="46" customBuiltin="1"/>
    <cellStyle name="20% - Accent6" xfId="21" builtinId="50" customBuiltin="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Bad" xfId="40" builtinId="27" customBuiltin="1"/>
    <cellStyle name="Calculation" xfId="41" builtinId="22" customBuiltin="1"/>
    <cellStyle name="Check Cell" xfId="42" builtinId="23" customBuiltin="1"/>
    <cellStyle name="Comma" xfId="43" builtinId="3"/>
    <cellStyle name="Currency" xfId="44" builtinId="4"/>
    <cellStyle name="Currency 11" xfId="93"/>
    <cellStyle name="Explanatory Text" xfId="45" builtinId="53" customBuiltin="1"/>
    <cellStyle name="Good" xfId="46" builtinId="26" customBuiltin="1"/>
    <cellStyle name="Heading 1" xfId="47" builtinId="16" customBuiltin="1"/>
    <cellStyle name="Heading 2" xfId="48" builtinId="17" customBuiltin="1"/>
    <cellStyle name="Heading 3" xfId="49" builtinId="18" customBuiltin="1"/>
    <cellStyle name="Heading 4" xfId="50" builtinId="19" customBuiltin="1"/>
    <cellStyle name="Input" xfId="51" builtinId="20" customBuiltin="1"/>
    <cellStyle name="Linked Cell" xfId="52" builtinId="24" customBuiltin="1"/>
    <cellStyle name="Millares [0]_2AV_M_M " xfId="89"/>
    <cellStyle name="Millares_2AV_M_M " xfId="90"/>
    <cellStyle name="Moneda [0]_2AV_M_M " xfId="91"/>
    <cellStyle name="Moneda_2AV_M_M " xfId="92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ercent" xfId="56" builtinId="5"/>
    <cellStyle name="Title" xfId="57" builtinId="15" customBuiltin="1"/>
    <cellStyle name="Total" xfId="58" builtinId="25" customBuiltin="1"/>
    <cellStyle name="Warning Text" xfId="5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63" Type="http://schemas.openxmlformats.org/officeDocument/2006/relationships/externalLink" Target="externalLinks/externalLink51.xml"/><Relationship Id="rId68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9.xml"/><Relationship Id="rId1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64" Type="http://schemas.openxmlformats.org/officeDocument/2006/relationships/theme" Target="theme/theme1.xml"/><Relationship Id="rId69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47.xml"/><Relationship Id="rId67" Type="http://schemas.openxmlformats.org/officeDocument/2006/relationships/calcChain" Target="calcChain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externalLink" Target="externalLinks/externalLink50.xml"/><Relationship Id="rId7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48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9" Type="http://schemas.openxmlformats.org/officeDocument/2006/relationships/externalLink" Target="externalLinks/externalLink27.xml"/><Relationship Id="rId34" Type="http://schemas.openxmlformats.org/officeDocument/2006/relationships/externalLink" Target="externalLinks/externalLink22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WINNT/Temporary%20Internet%20Files/OLK6C/UpdateLP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evnu/PUBLIC/# PCA &amp; RC 06_2003 TY/GRC/EL 09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WINNT/Temporary%20Internet%20Files/OLK93/WC-RB%20GRC%20TY0903%20RY02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WINNT/Temporary%20Internet%20Files/OLK93/2004%20GRC%20Order%20Electric%20(Clarificatio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Documents%20and%20Settings/lab0422/Local%20Settings/Temporary%20Internet%20Files/OLK181/FW_Feb_FY05_upload_format_accl_wksh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WINNT/Temporary%20Internet%20Files/OLK2F/Due%20Diligence/August%20New%20Model/Fred%20Value%209.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evnu/PUBLIC/RFDRWEB/PSE%20Funding/2008/042008%20PSE%20Funding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evnu/PUBLIC/WUTC/Puget%20Sound%20Energy/Quarterly%20Reporting/Misc/WC-RB%20Misc/WC-RB%20Overview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Cost%20Accounting/Resource%20Costs/CT/ENCOGEN_WBOOK%20(StratPlan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evnu/PUBLIC/WUTC/Puget%20Sound%20Energy/Semi%20Annual%20Report/Dec_31_04/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WINNT/Temporary%20Internet%20Files/OLK93/FCR%20for%20PSE%20S40%20V0%20%20HM%20edit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ates/Public/RASANEN/#2005 GRC/Update 6-30-06/COS Update 7-7-06/ECOS Model - UPDATE (JAH-5) 7-7-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ates/Public/RASANEN/#2008 GRC/COS/Workpapers/Electric COS Workpapers 11-20-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2005%20Data/06-2005/Depr%20Tracker%20Electric%20Revenue%20Forecast%206-27-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Documents%20and%20Settings/boljh/Local%20Settings/MSN%20Rate%20v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evnu/PUBLIC/# PCA &amp; RC 06_2003 TY/PCA/New Plant-093003/FredDispatch 9.3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evnu/PUBLIC/# 2006 GRC/2006 GRC Original Filing/Models&amp;Adjs/3.05E &amp; 3.05G ALLOC METHOD working fil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evnu/PUBLIC/WUTC/Puget%20Sound%20Energy/Semi%20Annual%20Report/Dec_31_04/WC-RB%202003%20CommBasisRp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evnu/PUBLIC/# 2011 GRC/RebuttalFiling2011 GRC/Electric Model 2011 GRC Rebuttal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WINNT/Temporary%20Internet%20Files/OLKC0/Aurora%20Prices%20for%20RORC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Documents%20and%20Settings/scartwri/My%20Documents/Projects/PSE/Projects/BHP/Due%20Diligence/BHP%20IS.BS.CF%20Mode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evnu/PUBLIC/WUTC/Puget%20Sound%20Energy/Semi%20Annual%20Report/Jun_30_01/Proforma%20Adj_not%20us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TM1EXC/PSE_VER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evnu/PUBLIC/WUTC/Puget%20Sound%20Energy/Semi%20Annual%20Report/Dec_31_02/Gas/semi1202.rev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02Inputs/General%20Accounting/Reports/SalesOfElectricity/2009%20SOE/04-2009/02-2009%20SOE%20preli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evnu/PUBLIC/# 2010 GTIF/Original2010GTIF-Oct/Models &amp; Adjustments Oct-10 filing/3.03 3.04 RB &amp; WC-RC June 10 Working Fil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WINNT/Temporary%20Internet%20Files/OLK93/GS0903%202004%20Rebuttal%20(working%20file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Cost%20Accounting/Resource%20Costs/Capacity/CAP_WBook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ates/Public/RASANEN/#2008 GRC/Proforma Revenue/Transportation &amp; Large Power/Firm Resal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Formulas/vlooku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evnu/PUBLIC/# 2007 GRC/4.04G Pass Through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evnu/PUBLIC/# PCA &amp; RC 06_2003 TY/GRC/LaborInctvOH 0903 GRC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WINNT/Temporary%20Internet%20Files/OLK71/SOE%20Sept%2020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evnu/PUBLIC/# 2006 GRC/2006 GRC Original Filing/SupportingDocs/Unbilled Electric - September 200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evnu/PUBLIC/# 2006 GRC/2006 GRC Original Filing/Models&amp;Adjs/2.12E Filing Fe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evnu/PUBLIC/Unbilled%20Rev%20Electric%20-%20Gas%20-%20SOE%20-%20SOG/2006/09-06%20Elec_Unb%20(93%203%25%202%20months)final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evnu/PUBLIC/WUTC/Puget%20Sound%20Energy/Semi%20Annual%20Report/Dec_31_04/WC-RB%202004-12%20Monthly%20Repo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evnu/PUBLIC/# 2005 PCORC/Update Filing - May 2006/Working Files/04.06.06.Transmission Rate Ba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barnd/AppData/Local/Microsoft/Windows/Temporary%20Internet%20Files/Content.Outlook/BJ1BGY9I/GrpRates/Public/RASANEN/#2005 GRC/COS Inputs/COS Model/ECOS Model - FINAL COMPAN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eck to Light &amp; Power"/>
      <sheetName val="PSE Lg Power Cust"/>
      <sheetName val="Summary"/>
      <sheetName val="Sched 46"/>
      <sheetName val="Sched 48 - HV"/>
      <sheetName val="Sched 49"/>
      <sheetName val="Special Contrac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  <sheetName val="Compon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24">
          <cell r="F24">
            <v>8.7599999999999997E-2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puts"/>
      <sheetName val="Classifiers"/>
      <sheetName val="Internal Allocators"/>
      <sheetName val="External Allocators"/>
      <sheetName val="Account Inputs"/>
      <sheetName val="Cust Counts 1 &amp; 4"/>
      <sheetName val="Cust 5 (CA Exp)"/>
      <sheetName val="Cust 6 (Meter Reading)"/>
      <sheetName val="Meter Costs"/>
      <sheetName val="Electric One Time Payments"/>
      <sheetName val="Transformer Plant"/>
      <sheetName val="Elec Water Heaters"/>
      <sheetName val="Proforma Revenue by Sch"/>
      <sheetName val="Transf &amp; Equipment Lease"/>
      <sheetName val="Elec Wat Heater Rev"/>
      <sheetName val="Customer Deposits"/>
      <sheetName val="OH &amp; UG Line Transformers"/>
      <sheetName val="Allocate 920"/>
      <sheetName val="Summary Firm Resale"/>
      <sheetName val="OH Service Lines"/>
      <sheetName val="OATT Revenue"/>
      <sheetName val="Customer Assistance Exp"/>
      <sheetName val="CP Demand"/>
      <sheetName val="Sub NCP"/>
      <sheetName val="Dist Plant"/>
      <sheetName val="OH &amp; UG Line Alloc"/>
      <sheetName val="Dist Acc Dep"/>
      <sheetName val="Monthly CP System"/>
      <sheetName val="Monthly CP Off System"/>
      <sheetName val="Top X NCPs w losses"/>
      <sheetName val="Annual kWh Alloc TYE 9-2006 "/>
      <sheetName val="BPA kWh"/>
      <sheetName val="COS Revenue Input"/>
      <sheetName val="COS Expense Input"/>
      <sheetName val="COS Ratebase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v &amp; kWh 2005-2007"/>
      <sheetName val="Sch 40 Breakout"/>
      <sheetName val="Rev Requirement"/>
      <sheetName val="Rev &amp; kWh 1-05 to 4-05"/>
      <sheetName val="Rev &amp; kWh 5-05 to 12-07"/>
      <sheetName val="Sheet3"/>
      <sheetName val="Electric Revenue Detail Pivot"/>
      <sheetName val="Unbundled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able"/>
      <sheetName val="Rlfwd"/>
      <sheetName val="Verify"/>
      <sheetName val="JHS-19"/>
      <sheetName val="JHS-20"/>
      <sheetName val="JHS-20.01(A)"/>
      <sheetName val="JHS-21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2">
          <cell r="AR2" t="str">
            <v>Docket Number UE-111048</v>
          </cell>
        </row>
      </sheetData>
      <sheetData sheetId="5"/>
      <sheetData sheetId="6"/>
      <sheetData sheetId="7">
        <row r="7">
          <cell r="A7" t="str">
            <v>FOR THE TWELVE MONTHS ENDED DECEMBER 31, 2010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  <sheetName val="Sheet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odel"/>
      <sheetName val="Revenue Requirement Adjustments"/>
      <sheetName val="Gas Matrix of Adjustments 9_04"/>
      <sheetName val="ROE matrix"/>
      <sheetName val="Rollforward"/>
      <sheetName val="PREVIOUS"/>
      <sheetName val="CHANGES"/>
      <sheetName val="GRB Detail"/>
      <sheetName val="Gas Unit cost"/>
      <sheetName val="Gas Unit Cost Summary "/>
      <sheetName val=" model at 1.30.03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irm Resale"/>
      <sheetName val="Seatac"/>
      <sheetName val="Total Small by Month"/>
      <sheetName val="Bremerton"/>
      <sheetName val="Brownsville"/>
      <sheetName val="Des Moines"/>
      <sheetName val="Kingston"/>
      <sheetName val="Kittitas"/>
      <sheetName val="Oak Harbor"/>
      <sheetName val="Poulsbo"/>
      <sheetName val="Skagit"/>
      <sheetName val="LaConn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  <sheetName val="4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2.12"/>
      <sheetName val="Excise Tax-Restated"/>
      <sheetName val="State Excise"/>
      <sheetName val="Excise Tax-Charged to Exps"/>
      <sheetName val="Allocation Method"/>
      <sheetName val="Summary of Taxes"/>
      <sheetName val="WUTC Filing Fee"/>
      <sheetName val="Order 92800010"/>
      <sheetName val="State Excise - Revised"/>
      <sheetName val="TY - 40810002 - Electric"/>
      <sheetName val="23600471-WA Utility Tax (Elect)"/>
      <sheetName val="TY - 40810010 - Encogen"/>
      <sheetName val="23601001 - Encogen"/>
      <sheetName val="TY - 40810302 - Gas"/>
      <sheetName val="23600552-WA Utility Tax (Gas)"/>
      <sheetName val="40810602 - B&amp;O (Common)"/>
      <sheetName val="23601013 - B &amp; O Taxes"/>
      <sheetName val="SLIP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H41">
            <v>0</v>
          </cell>
          <cell r="AI41">
            <v>0</v>
          </cell>
          <cell r="AJ41">
            <v>0</v>
          </cell>
        </row>
        <row r="42">
          <cell r="AH42">
            <v>0</v>
          </cell>
          <cell r="AI42">
            <v>0</v>
          </cell>
          <cell r="AJ42">
            <v>0</v>
          </cell>
        </row>
        <row r="43">
          <cell r="AH43">
            <v>0</v>
          </cell>
          <cell r="AI43">
            <v>0</v>
          </cell>
          <cell r="AJ43">
            <v>0</v>
          </cell>
        </row>
        <row r="44"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H439">
            <v>0</v>
          </cell>
          <cell r="AI439">
            <v>0</v>
          </cell>
          <cell r="AJ439">
            <v>0</v>
          </cell>
        </row>
        <row r="440"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H502">
            <v>0</v>
          </cell>
          <cell r="AI502">
            <v>0</v>
          </cell>
          <cell r="AJ502">
            <v>0</v>
          </cell>
        </row>
        <row r="503">
          <cell r="AH503">
            <v>0</v>
          </cell>
          <cell r="AI503">
            <v>0</v>
          </cell>
          <cell r="AJ503">
            <v>0</v>
          </cell>
        </row>
        <row r="504">
          <cell r="AH504">
            <v>0</v>
          </cell>
          <cell r="AI504">
            <v>0</v>
          </cell>
          <cell r="AJ504">
            <v>0</v>
          </cell>
        </row>
        <row r="505"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H559">
            <v>0</v>
          </cell>
          <cell r="AI559">
            <v>0</v>
          </cell>
          <cell r="AJ559">
            <v>0</v>
          </cell>
        </row>
        <row r="560"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H628">
            <v>0</v>
          </cell>
          <cell r="AI628">
            <v>0</v>
          </cell>
          <cell r="AJ628">
            <v>0</v>
          </cell>
        </row>
        <row r="629"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H681">
            <v>0</v>
          </cell>
          <cell r="AI681">
            <v>0</v>
          </cell>
          <cell r="AJ681">
            <v>0</v>
          </cell>
        </row>
        <row r="682"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H742">
            <v>0</v>
          </cell>
          <cell r="AI742">
            <v>0</v>
          </cell>
          <cell r="AJ742">
            <v>0</v>
          </cell>
        </row>
        <row r="743"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H868">
            <v>0</v>
          </cell>
          <cell r="AI868">
            <v>0</v>
          </cell>
          <cell r="AJ868">
            <v>0</v>
          </cell>
        </row>
        <row r="869">
          <cell r="AH869">
            <v>0</v>
          </cell>
          <cell r="AI869">
            <v>0</v>
          </cell>
          <cell r="AJ869">
            <v>0</v>
          </cell>
        </row>
        <row r="870">
          <cell r="AH870">
            <v>0</v>
          </cell>
          <cell r="AI870">
            <v>0</v>
          </cell>
          <cell r="AJ870">
            <v>0</v>
          </cell>
        </row>
        <row r="871">
          <cell r="AH871">
            <v>0</v>
          </cell>
          <cell r="AI871">
            <v>0</v>
          </cell>
          <cell r="AJ871">
            <v>0</v>
          </cell>
        </row>
        <row r="872">
          <cell r="AH872">
            <v>0</v>
          </cell>
          <cell r="AI872">
            <v>0</v>
          </cell>
          <cell r="AJ872">
            <v>0</v>
          </cell>
        </row>
        <row r="873">
          <cell r="AH873">
            <v>0</v>
          </cell>
          <cell r="AI873">
            <v>0</v>
          </cell>
          <cell r="AJ873">
            <v>0</v>
          </cell>
        </row>
        <row r="874">
          <cell r="AH874">
            <v>0</v>
          </cell>
          <cell r="AI874">
            <v>0</v>
          </cell>
          <cell r="AJ874">
            <v>0</v>
          </cell>
        </row>
        <row r="875">
          <cell r="AH875">
            <v>0</v>
          </cell>
          <cell r="AI875">
            <v>0</v>
          </cell>
          <cell r="AJ875">
            <v>0</v>
          </cell>
        </row>
        <row r="876">
          <cell r="AH876">
            <v>0</v>
          </cell>
          <cell r="AI876">
            <v>0</v>
          </cell>
          <cell r="AJ876">
            <v>0</v>
          </cell>
        </row>
        <row r="877">
          <cell r="AH877">
            <v>0</v>
          </cell>
          <cell r="AI877">
            <v>0</v>
          </cell>
          <cell r="AJ877">
            <v>0</v>
          </cell>
        </row>
        <row r="878">
          <cell r="AH878">
            <v>0</v>
          </cell>
          <cell r="AI878">
            <v>0</v>
          </cell>
          <cell r="AJ878">
            <v>0</v>
          </cell>
        </row>
        <row r="879">
          <cell r="AH879">
            <v>0</v>
          </cell>
          <cell r="AI879">
            <v>0</v>
          </cell>
          <cell r="AJ879">
            <v>0</v>
          </cell>
        </row>
        <row r="880">
          <cell r="AH880">
            <v>0</v>
          </cell>
          <cell r="AI880">
            <v>0</v>
          </cell>
          <cell r="AJ880">
            <v>0</v>
          </cell>
        </row>
        <row r="881"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H928">
            <v>0</v>
          </cell>
          <cell r="AI928">
            <v>0</v>
          </cell>
          <cell r="AJ928">
            <v>0</v>
          </cell>
        </row>
        <row r="929">
          <cell r="AH929">
            <v>0</v>
          </cell>
          <cell r="AI929">
            <v>0</v>
          </cell>
          <cell r="AJ929">
            <v>0</v>
          </cell>
        </row>
        <row r="930"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H1098">
            <v>0</v>
          </cell>
          <cell r="AI1098">
            <v>0</v>
          </cell>
          <cell r="AJ1098">
            <v>0</v>
          </cell>
        </row>
        <row r="1099">
          <cell r="AH1099">
            <v>0</v>
          </cell>
          <cell r="AI1099">
            <v>0</v>
          </cell>
          <cell r="AJ1099">
            <v>0</v>
          </cell>
        </row>
        <row r="1100">
          <cell r="AH1100">
            <v>0</v>
          </cell>
          <cell r="AI1100">
            <v>0</v>
          </cell>
          <cell r="AJ1100">
            <v>0</v>
          </cell>
        </row>
        <row r="1101">
          <cell r="AH1101">
            <v>0</v>
          </cell>
          <cell r="AI1101">
            <v>0</v>
          </cell>
          <cell r="AJ1101">
            <v>0</v>
          </cell>
        </row>
        <row r="1102">
          <cell r="AH1102">
            <v>0</v>
          </cell>
          <cell r="AI1102">
            <v>0</v>
          </cell>
          <cell r="AJ1102">
            <v>0</v>
          </cell>
        </row>
        <row r="1103">
          <cell r="AH1103">
            <v>0</v>
          </cell>
          <cell r="AI1103">
            <v>0</v>
          </cell>
          <cell r="AJ1103">
            <v>0</v>
          </cell>
        </row>
        <row r="1104">
          <cell r="AH1104">
            <v>0</v>
          </cell>
          <cell r="AI1104">
            <v>0</v>
          </cell>
          <cell r="AJ1104">
            <v>0</v>
          </cell>
        </row>
        <row r="1105"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H1108">
            <v>0</v>
          </cell>
          <cell r="AI1108">
            <v>0</v>
          </cell>
          <cell r="AJ1108">
            <v>0</v>
          </cell>
        </row>
        <row r="1109">
          <cell r="AH1109">
            <v>0</v>
          </cell>
          <cell r="AI1109">
            <v>0</v>
          </cell>
          <cell r="AJ1109">
            <v>0</v>
          </cell>
        </row>
        <row r="1110"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H1285">
            <v>0</v>
          </cell>
          <cell r="AI1285">
            <v>0</v>
          </cell>
          <cell r="AJ1285">
            <v>0</v>
          </cell>
        </row>
        <row r="1286">
          <cell r="AH1286">
            <v>0</v>
          </cell>
          <cell r="AI1286">
            <v>0</v>
          </cell>
          <cell r="AJ1286">
            <v>0</v>
          </cell>
        </row>
        <row r="1287"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H1321">
            <v>0</v>
          </cell>
          <cell r="AI1321">
            <v>0</v>
          </cell>
          <cell r="AJ1321">
            <v>0</v>
          </cell>
        </row>
        <row r="1322"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H1387">
            <v>0</v>
          </cell>
          <cell r="AI1387">
            <v>0</v>
          </cell>
          <cell r="AJ1387">
            <v>0</v>
          </cell>
        </row>
        <row r="1388"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H1458">
            <v>0</v>
          </cell>
          <cell r="AI1458">
            <v>0</v>
          </cell>
          <cell r="AJ1458">
            <v>0</v>
          </cell>
        </row>
        <row r="1459">
          <cell r="AH1459">
            <v>0</v>
          </cell>
          <cell r="AI1459">
            <v>0</v>
          </cell>
          <cell r="AJ1459">
            <v>0</v>
          </cell>
        </row>
        <row r="1460">
          <cell r="AH1460">
            <v>0</v>
          </cell>
          <cell r="AI1460">
            <v>0</v>
          </cell>
          <cell r="AJ1460">
            <v>0</v>
          </cell>
        </row>
        <row r="1461"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RB Exh. A-2"/>
      <sheetName val="Plant Balances"/>
      <sheetName val="Accum. Deprec."/>
      <sheetName val="FERCAdj.line 48"/>
      <sheetName val="DFIT"/>
      <sheetName val="DFIT.Colstrip T &amp; D.Mike"/>
      <sheetName val="Transmission 2005"/>
      <sheetName val="Transmission 2004"/>
      <sheetName val="BS"/>
      <sheetName val="Sheet1"/>
      <sheetName val="DWNLD"/>
      <sheetName val="3_2005 Colstrip T&amp;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47"/>
  <sheetViews>
    <sheetView tabSelected="1" topLeftCell="A16" zoomScale="90" zoomScaleNormal="90" workbookViewId="0">
      <selection activeCell="B24" sqref="B24"/>
    </sheetView>
  </sheetViews>
  <sheetFormatPr defaultRowHeight="12.5" x14ac:dyDescent="0.25"/>
  <cols>
    <col min="2" max="2" width="54.54296875" bestFit="1" customWidth="1"/>
    <col min="3" max="3" width="15" bestFit="1" customWidth="1"/>
    <col min="4" max="4" width="14.26953125" bestFit="1" customWidth="1"/>
    <col min="5" max="5" width="13.453125" bestFit="1" customWidth="1"/>
    <col min="6" max="8" width="12.81640625" bestFit="1" customWidth="1"/>
    <col min="9" max="9" width="12.54296875" bestFit="1" customWidth="1"/>
    <col min="10" max="10" width="11.81640625" bestFit="1" customWidth="1"/>
    <col min="11" max="12" width="12.54296875" bestFit="1" customWidth="1"/>
    <col min="13" max="13" width="11.54296875" bestFit="1" customWidth="1"/>
  </cols>
  <sheetData>
    <row r="1" spans="1:13" ht="13" x14ac:dyDescent="0.3">
      <c r="A1" s="349" t="s">
        <v>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ht="13" x14ac:dyDescent="0.3">
      <c r="A2" s="349" t="s">
        <v>340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 ht="13" x14ac:dyDescent="0.3">
      <c r="A3" s="349" t="s">
        <v>341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1:13" ht="13" x14ac:dyDescent="0.3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3" ht="13" x14ac:dyDescent="0.3">
      <c r="A5" s="317"/>
      <c r="B5" s="318"/>
      <c r="C5" s="348" t="s">
        <v>342</v>
      </c>
      <c r="D5" s="348"/>
      <c r="E5" s="348"/>
      <c r="F5" s="348"/>
      <c r="G5" s="318"/>
      <c r="H5" s="318"/>
      <c r="I5" s="318"/>
      <c r="J5" s="318"/>
      <c r="K5" s="318"/>
      <c r="L5" s="318"/>
      <c r="M5" s="318"/>
    </row>
    <row r="6" spans="1:13" ht="26" x14ac:dyDescent="0.3">
      <c r="A6" s="319" t="s">
        <v>4</v>
      </c>
      <c r="B6" s="319" t="s">
        <v>343</v>
      </c>
      <c r="C6" s="320" t="s">
        <v>344</v>
      </c>
      <c r="D6" s="319" t="s">
        <v>345</v>
      </c>
      <c r="E6" s="319" t="s">
        <v>346</v>
      </c>
      <c r="F6" s="321" t="s">
        <v>347</v>
      </c>
      <c r="G6" s="318"/>
      <c r="H6" s="318"/>
      <c r="I6" s="318"/>
      <c r="J6" s="318"/>
      <c r="K6" s="318"/>
      <c r="L6" s="318"/>
      <c r="M6" s="318"/>
    </row>
    <row r="7" spans="1:13" ht="13.5" x14ac:dyDescent="0.35">
      <c r="A7" s="317">
        <v>1</v>
      </c>
      <c r="B7" s="322" t="s">
        <v>348</v>
      </c>
      <c r="C7" s="323"/>
      <c r="D7" s="323"/>
      <c r="E7" s="323"/>
      <c r="F7" s="323"/>
      <c r="G7" s="324"/>
      <c r="H7" s="318"/>
      <c r="I7" s="318"/>
      <c r="J7" s="318"/>
      <c r="K7" s="318"/>
      <c r="L7" s="318"/>
      <c r="M7" s="318"/>
    </row>
    <row r="8" spans="1:13" ht="13" x14ac:dyDescent="0.3">
      <c r="A8" s="317">
        <f>A7+1</f>
        <v>2</v>
      </c>
      <c r="B8" s="318" t="s">
        <v>349</v>
      </c>
      <c r="C8" s="325">
        <f>SUM(D8:F8)</f>
        <v>76625170.570920095</v>
      </c>
      <c r="D8" s="325">
        <v>2019801.7609200478</v>
      </c>
      <c r="E8" s="325">
        <v>65683353.600000054</v>
      </c>
      <c r="F8" s="325">
        <v>8922015.209999999</v>
      </c>
      <c r="G8" s="326"/>
      <c r="H8" s="325"/>
      <c r="I8" s="318"/>
      <c r="J8" s="318"/>
      <c r="K8" s="318"/>
      <c r="L8" s="318"/>
      <c r="M8" s="318"/>
    </row>
    <row r="9" spans="1:13" ht="13" x14ac:dyDescent="0.3">
      <c r="A9" s="317">
        <f>A8+1</f>
        <v>3</v>
      </c>
      <c r="B9" s="327" t="s">
        <v>350</v>
      </c>
      <c r="C9" s="328">
        <f>SUM(D9:F9)</f>
        <v>-29938735.44000005</v>
      </c>
      <c r="D9" s="328">
        <v>-1099040.6500000097</v>
      </c>
      <c r="E9" s="328">
        <v>-25293318.06000004</v>
      </c>
      <c r="F9" s="328">
        <v>-3546376.7299999995</v>
      </c>
      <c r="G9" s="326"/>
      <c r="H9" s="318"/>
      <c r="I9" s="318"/>
      <c r="J9" s="318"/>
      <c r="K9" s="318"/>
      <c r="L9" s="318"/>
      <c r="M9" s="318"/>
    </row>
    <row r="10" spans="1:13" ht="13" x14ac:dyDescent="0.3">
      <c r="A10" s="317">
        <f t="shared" ref="A10:A47" si="0">A9+1</f>
        <v>4</v>
      </c>
      <c r="B10" s="318" t="s">
        <v>351</v>
      </c>
      <c r="C10" s="325">
        <f>SUM(C8:C9)</f>
        <v>46686435.130920045</v>
      </c>
      <c r="D10" s="325">
        <f>SUM(D8:D9)</f>
        <v>920761.11092003807</v>
      </c>
      <c r="E10" s="325">
        <f>SUM(E8:E9)</f>
        <v>40390035.540000014</v>
      </c>
      <c r="F10" s="325">
        <f>SUM(F8:F9)</f>
        <v>5375638.4799999995</v>
      </c>
      <c r="G10" s="326"/>
      <c r="H10" s="318"/>
      <c r="I10" s="318"/>
      <c r="J10" s="318"/>
      <c r="K10" s="318"/>
      <c r="L10" s="318"/>
      <c r="M10" s="318"/>
    </row>
    <row r="11" spans="1:13" ht="13" x14ac:dyDescent="0.3">
      <c r="A11" s="317">
        <f t="shared" si="0"/>
        <v>5</v>
      </c>
      <c r="B11" s="317" t="s">
        <v>352</v>
      </c>
      <c r="C11" s="329">
        <f>C10/SUM($E$10,$F$10, $D$10)</f>
        <v>0.99999999999999989</v>
      </c>
      <c r="D11" s="329">
        <f>D10/SUM($E$10,$F$10, $D$10)</f>
        <v>1.9722240696639214E-2</v>
      </c>
      <c r="E11" s="329">
        <f>E10/SUM($E$10,$F$10, $D$10)</f>
        <v>0.86513428208293452</v>
      </c>
      <c r="F11" s="329">
        <f>F10/SUM($E$10,$F$10, $D$10)</f>
        <v>0.11514347722042623</v>
      </c>
      <c r="G11" s="330"/>
      <c r="H11" s="318"/>
      <c r="I11" s="318"/>
      <c r="J11" s="318"/>
      <c r="K11" s="318"/>
      <c r="L11" s="318"/>
      <c r="M11" s="318"/>
    </row>
    <row r="12" spans="1:13" ht="13" x14ac:dyDescent="0.3">
      <c r="A12" s="317">
        <f t="shared" si="0"/>
        <v>6</v>
      </c>
      <c r="B12" s="318" t="s">
        <v>353</v>
      </c>
      <c r="C12" s="331">
        <v>52775723.339309976</v>
      </c>
      <c r="D12" s="332">
        <f>D11*$C$12</f>
        <v>1040855.5186371112</v>
      </c>
      <c r="E12" s="333">
        <f>E11*$C$12</f>
        <v>45658087.522561505</v>
      </c>
      <c r="F12" s="334">
        <f>F11*$C$12</f>
        <v>6076780.2981113549</v>
      </c>
      <c r="G12" s="335"/>
      <c r="H12" s="318"/>
      <c r="I12" s="318"/>
      <c r="J12" s="318"/>
      <c r="K12" s="318"/>
      <c r="L12" s="318"/>
      <c r="M12" s="318"/>
    </row>
    <row r="13" spans="1:13" ht="13" x14ac:dyDescent="0.3">
      <c r="A13" s="317">
        <f t="shared" si="0"/>
        <v>7</v>
      </c>
      <c r="B13" s="318"/>
      <c r="C13" s="318"/>
      <c r="D13" s="330"/>
      <c r="E13" s="330"/>
      <c r="F13" s="318"/>
      <c r="G13" s="318"/>
      <c r="H13" s="318"/>
      <c r="I13" s="318"/>
      <c r="J13" s="318"/>
      <c r="K13" s="318"/>
      <c r="L13" s="318"/>
      <c r="M13" s="318"/>
    </row>
    <row r="14" spans="1:13" ht="13" x14ac:dyDescent="0.3">
      <c r="A14" s="317">
        <f t="shared" si="0"/>
        <v>8</v>
      </c>
      <c r="B14" s="318"/>
      <c r="C14" s="348" t="s">
        <v>354</v>
      </c>
      <c r="D14" s="348"/>
      <c r="E14" s="348"/>
      <c r="F14" s="348"/>
      <c r="G14" s="348"/>
      <c r="H14" s="348"/>
      <c r="I14" s="348"/>
      <c r="J14" s="348"/>
      <c r="K14" s="348"/>
      <c r="L14" s="348"/>
      <c r="M14" s="348"/>
    </row>
    <row r="15" spans="1:13" ht="26" x14ac:dyDescent="0.3">
      <c r="A15" s="317">
        <f t="shared" si="0"/>
        <v>9</v>
      </c>
      <c r="B15" s="318"/>
      <c r="C15" s="320" t="s">
        <v>344</v>
      </c>
      <c r="D15" s="319" t="s">
        <v>355</v>
      </c>
      <c r="E15" s="319" t="s">
        <v>356</v>
      </c>
      <c r="F15" s="319" t="s">
        <v>357</v>
      </c>
      <c r="G15" s="319" t="s">
        <v>358</v>
      </c>
      <c r="H15" s="319" t="s">
        <v>359</v>
      </c>
      <c r="I15" s="319" t="s">
        <v>360</v>
      </c>
      <c r="J15" s="319" t="s">
        <v>361</v>
      </c>
      <c r="K15" s="319" t="s">
        <v>362</v>
      </c>
      <c r="L15" s="319" t="s">
        <v>363</v>
      </c>
      <c r="M15" s="321" t="s">
        <v>364</v>
      </c>
    </row>
    <row r="16" spans="1:13" ht="13.5" x14ac:dyDescent="0.35">
      <c r="A16" s="317">
        <f t="shared" si="0"/>
        <v>10</v>
      </c>
      <c r="B16" s="322" t="s">
        <v>365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</row>
    <row r="17" spans="1:13" ht="13" x14ac:dyDescent="0.3">
      <c r="A17" s="317">
        <f t="shared" si="0"/>
        <v>11</v>
      </c>
      <c r="B17" s="336" t="s">
        <v>345</v>
      </c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</row>
    <row r="18" spans="1:13" ht="13" x14ac:dyDescent="0.3">
      <c r="A18" s="317">
        <f t="shared" si="0"/>
        <v>12</v>
      </c>
      <c r="B18" s="318" t="s">
        <v>349</v>
      </c>
      <c r="C18" s="325">
        <v>299479149</v>
      </c>
      <c r="D18" s="325">
        <v>183926072.70731068</v>
      </c>
      <c r="E18" s="325">
        <v>35724662.254275985</v>
      </c>
      <c r="F18" s="325">
        <v>30568268.407571789</v>
      </c>
      <c r="G18" s="325">
        <v>17992341.963605236</v>
      </c>
      <c r="H18" s="325">
        <v>13987644.779568054</v>
      </c>
      <c r="I18" s="325">
        <v>6789748.1593476692</v>
      </c>
      <c r="J18" s="325">
        <v>4329004.804031753</v>
      </c>
      <c r="K18" s="325">
        <v>2458652.6364702187</v>
      </c>
      <c r="L18" s="325">
        <v>3349341.4354567737</v>
      </c>
      <c r="M18" s="325">
        <v>353411.85236181942</v>
      </c>
    </row>
    <row r="19" spans="1:13" ht="13" x14ac:dyDescent="0.3">
      <c r="A19" s="317">
        <f t="shared" si="0"/>
        <v>13</v>
      </c>
      <c r="B19" s="327" t="s">
        <v>350</v>
      </c>
      <c r="C19" s="328">
        <v>-75827762</v>
      </c>
      <c r="D19" s="328">
        <v>-46569861.419115551</v>
      </c>
      <c r="E19" s="328">
        <v>-9045441.7143666465</v>
      </c>
      <c r="F19" s="328">
        <v>-7739848.9654499227</v>
      </c>
      <c r="G19" s="328">
        <v>-4555639.4453320401</v>
      </c>
      <c r="H19" s="328">
        <v>-3541654.9126284234</v>
      </c>
      <c r="I19" s="328">
        <v>-1719156.1054788269</v>
      </c>
      <c r="J19" s="328">
        <v>-1096098.8338355958</v>
      </c>
      <c r="K19" s="328">
        <v>-622527.90413444221</v>
      </c>
      <c r="L19" s="328">
        <v>-848049.24173387</v>
      </c>
      <c r="M19" s="328">
        <v>-89483.457924715767</v>
      </c>
    </row>
    <row r="20" spans="1:13" ht="13" x14ac:dyDescent="0.3">
      <c r="A20" s="317">
        <f t="shared" si="0"/>
        <v>14</v>
      </c>
      <c r="B20" s="318" t="s">
        <v>351</v>
      </c>
      <c r="C20" s="325">
        <f>SUM(C18:C19)</f>
        <v>223651387</v>
      </c>
      <c r="D20" s="325">
        <f t="shared" ref="D20:M20" si="1">SUM(D18:D19)</f>
        <v>137356211.28819513</v>
      </c>
      <c r="E20" s="325">
        <f t="shared" si="1"/>
        <v>26679220.53990934</v>
      </c>
      <c r="F20" s="325">
        <f t="shared" si="1"/>
        <v>22828419.442121867</v>
      </c>
      <c r="G20" s="325">
        <f t="shared" si="1"/>
        <v>13436702.518273197</v>
      </c>
      <c r="H20" s="325">
        <f t="shared" si="1"/>
        <v>10445989.86693963</v>
      </c>
      <c r="I20" s="325">
        <f t="shared" si="1"/>
        <v>5070592.0538688423</v>
      </c>
      <c r="J20" s="325">
        <f t="shared" si="1"/>
        <v>3232905.9701961572</v>
      </c>
      <c r="K20" s="325">
        <f t="shared" si="1"/>
        <v>1836124.7323357766</v>
      </c>
      <c r="L20" s="325">
        <f t="shared" si="1"/>
        <v>2501292.1937229037</v>
      </c>
      <c r="M20" s="325">
        <f t="shared" si="1"/>
        <v>263928.39443710365</v>
      </c>
    </row>
    <row r="21" spans="1:13" ht="13" x14ac:dyDescent="0.3">
      <c r="A21" s="317">
        <f t="shared" si="0"/>
        <v>15</v>
      </c>
      <c r="B21" s="317" t="s">
        <v>366</v>
      </c>
      <c r="C21" s="329">
        <f>C20/$C$20</f>
        <v>1</v>
      </c>
      <c r="D21" s="329">
        <f>D20/$C$20</f>
        <v>0.61415318335671731</v>
      </c>
      <c r="E21" s="329">
        <f t="shared" ref="E21:M21" si="2">E20/$C$20</f>
        <v>0.11928931404261464</v>
      </c>
      <c r="F21" s="329">
        <f t="shared" si="2"/>
        <v>0.10207144139965413</v>
      </c>
      <c r="G21" s="329">
        <f t="shared" si="2"/>
        <v>6.0078780187816129E-2</v>
      </c>
      <c r="H21" s="329">
        <f t="shared" si="2"/>
        <v>4.670657314966542E-2</v>
      </c>
      <c r="I21" s="329">
        <f t="shared" si="2"/>
        <v>2.267185606082936E-2</v>
      </c>
      <c r="J21" s="329">
        <f t="shared" si="2"/>
        <v>1.4455112546188489E-2</v>
      </c>
      <c r="K21" s="329">
        <f t="shared" si="2"/>
        <v>8.2097623313007965E-3</v>
      </c>
      <c r="L21" s="329">
        <f t="shared" si="2"/>
        <v>1.1183888583364358E-2</v>
      </c>
      <c r="M21" s="329">
        <f t="shared" si="2"/>
        <v>1.1800883418491997E-3</v>
      </c>
    </row>
    <row r="22" spans="1:13" ht="13" x14ac:dyDescent="0.3">
      <c r="A22" s="317">
        <f t="shared" si="0"/>
        <v>16</v>
      </c>
      <c r="B22" s="318" t="s">
        <v>367</v>
      </c>
      <c r="C22" s="332">
        <f>D12</f>
        <v>1040855.5186371112</v>
      </c>
      <c r="D22" s="325">
        <f>$C$22*D21</f>
        <v>639244.73018538882</v>
      </c>
      <c r="E22" s="325">
        <f t="shared" ref="E22:M22" si="3">$C$22*E21</f>
        <v>124162.9408356909</v>
      </c>
      <c r="F22" s="325">
        <f t="shared" si="3"/>
        <v>106241.62307607449</v>
      </c>
      <c r="G22" s="325">
        <f t="shared" si="3"/>
        <v>62533.329911474357</v>
      </c>
      <c r="H22" s="325">
        <f t="shared" si="3"/>
        <v>48614.794419457176</v>
      </c>
      <c r="I22" s="325">
        <f t="shared" si="3"/>
        <v>23598.126498660476</v>
      </c>
      <c r="J22" s="325">
        <f t="shared" si="3"/>
        <v>15045.683666220833</v>
      </c>
      <c r="K22" s="325">
        <f t="shared" si="3"/>
        <v>8545.1764292335101</v>
      </c>
      <c r="L22" s="325">
        <f t="shared" si="3"/>
        <v>11640.812151817376</v>
      </c>
      <c r="M22" s="325">
        <f t="shared" si="3"/>
        <v>1228.3014630930572</v>
      </c>
    </row>
    <row r="23" spans="1:13" ht="13" x14ac:dyDescent="0.3">
      <c r="A23" s="317">
        <f t="shared" si="0"/>
        <v>17</v>
      </c>
      <c r="B23" s="318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</row>
    <row r="24" spans="1:13" ht="13" x14ac:dyDescent="0.3">
      <c r="A24" s="317">
        <f t="shared" si="0"/>
        <v>18</v>
      </c>
      <c r="B24" s="327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</row>
    <row r="25" spans="1:13" ht="13" x14ac:dyDescent="0.3">
      <c r="A25" s="317">
        <f>A24+1</f>
        <v>19</v>
      </c>
      <c r="B25" s="336" t="s">
        <v>346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</row>
    <row r="26" spans="1:13" ht="13" x14ac:dyDescent="0.3">
      <c r="A26" s="317">
        <f t="shared" si="0"/>
        <v>20</v>
      </c>
      <c r="B26" s="318" t="s">
        <v>349</v>
      </c>
      <c r="C26" s="325">
        <v>2873557373.994164</v>
      </c>
      <c r="D26" s="325">
        <v>1877694493.4489975</v>
      </c>
      <c r="E26" s="325">
        <v>353147029.35368353</v>
      </c>
      <c r="F26" s="325">
        <v>268982724.83388561</v>
      </c>
      <c r="G26" s="325">
        <v>117261663.29818814</v>
      </c>
      <c r="H26" s="325">
        <v>126778248.28998038</v>
      </c>
      <c r="I26" s="325">
        <v>36967690.056192003</v>
      </c>
      <c r="J26" s="325">
        <v>12310302.167489491</v>
      </c>
      <c r="K26" s="325">
        <v>8975782.6975570992</v>
      </c>
      <c r="L26" s="325">
        <v>67863140.780171394</v>
      </c>
      <c r="M26" s="325">
        <v>3576299.0680197165</v>
      </c>
    </row>
    <row r="27" spans="1:13" ht="13" x14ac:dyDescent="0.3">
      <c r="A27" s="317">
        <f t="shared" si="0"/>
        <v>21</v>
      </c>
      <c r="B27" s="327" t="s">
        <v>350</v>
      </c>
      <c r="C27" s="328">
        <v>-1043566142.7949973</v>
      </c>
      <c r="D27" s="328">
        <v>-693854424.564062</v>
      </c>
      <c r="E27" s="328">
        <v>-122545714.80892678</v>
      </c>
      <c r="F27" s="328">
        <v>-92111948.230374411</v>
      </c>
      <c r="G27" s="328">
        <v>-39514282.428008534</v>
      </c>
      <c r="H27" s="328">
        <v>-42834552.201430514</v>
      </c>
      <c r="I27" s="328">
        <v>-13697162.259959668</v>
      </c>
      <c r="J27" s="328">
        <v>-4262277.4844357464</v>
      </c>
      <c r="K27" s="328">
        <v>-4225436.454083113</v>
      </c>
      <c r="L27" s="328">
        <v>-28498113.887204614</v>
      </c>
      <c r="M27" s="328">
        <v>-2022230.4765121113</v>
      </c>
    </row>
    <row r="28" spans="1:13" ht="13" x14ac:dyDescent="0.3">
      <c r="A28" s="317">
        <f t="shared" si="0"/>
        <v>22</v>
      </c>
      <c r="B28" s="318" t="s">
        <v>351</v>
      </c>
      <c r="C28" s="325">
        <f>SUM(C26:C27)</f>
        <v>1829991231.1991668</v>
      </c>
      <c r="D28" s="325">
        <f t="shared" ref="D28:M28" si="4">SUM(D26:D27)</f>
        <v>1183840068.8849354</v>
      </c>
      <c r="E28" s="325">
        <f t="shared" si="4"/>
        <v>230601314.54475677</v>
      </c>
      <c r="F28" s="325">
        <f t="shared" si="4"/>
        <v>176870776.60351121</v>
      </c>
      <c r="G28" s="325">
        <f t="shared" si="4"/>
        <v>77747380.870179594</v>
      </c>
      <c r="H28" s="325">
        <f t="shared" si="4"/>
        <v>83943696.088549867</v>
      </c>
      <c r="I28" s="325">
        <f t="shared" si="4"/>
        <v>23270527.796232335</v>
      </c>
      <c r="J28" s="325">
        <f t="shared" si="4"/>
        <v>8048024.683053745</v>
      </c>
      <c r="K28" s="325">
        <f t="shared" si="4"/>
        <v>4750346.2434739862</v>
      </c>
      <c r="L28" s="325">
        <f t="shared" si="4"/>
        <v>39365026.892966777</v>
      </c>
      <c r="M28" s="325">
        <f t="shared" si="4"/>
        <v>1554068.5915076053</v>
      </c>
    </row>
    <row r="29" spans="1:13" ht="13" x14ac:dyDescent="0.3">
      <c r="A29" s="317">
        <f t="shared" si="0"/>
        <v>23</v>
      </c>
      <c r="B29" s="317" t="s">
        <v>368</v>
      </c>
      <c r="C29" s="329">
        <f t="shared" ref="C29:M29" si="5">C28/$C$28</f>
        <v>1</v>
      </c>
      <c r="D29" s="329">
        <f t="shared" si="5"/>
        <v>0.64691024126338692</v>
      </c>
      <c r="E29" s="329">
        <f t="shared" si="5"/>
        <v>0.12601225110442035</v>
      </c>
      <c r="F29" s="329">
        <f t="shared" si="5"/>
        <v>9.665116072037698E-2</v>
      </c>
      <c r="G29" s="329">
        <f t="shared" si="5"/>
        <v>4.2485111155004203E-2</v>
      </c>
      <c r="H29" s="329">
        <f t="shared" si="5"/>
        <v>4.5871091979792042E-2</v>
      </c>
      <c r="I29" s="329">
        <f t="shared" si="5"/>
        <v>1.2716196339904588E-2</v>
      </c>
      <c r="J29" s="329">
        <f t="shared" si="5"/>
        <v>4.3978487688052965E-3</v>
      </c>
      <c r="K29" s="329">
        <f t="shared" si="5"/>
        <v>2.5958300578091584E-3</v>
      </c>
      <c r="L29" s="329">
        <f t="shared" si="5"/>
        <v>2.1511046731722012E-2</v>
      </c>
      <c r="M29" s="329">
        <f t="shared" si="5"/>
        <v>8.4922187877875597E-4</v>
      </c>
    </row>
    <row r="30" spans="1:13" ht="13" x14ac:dyDescent="0.3">
      <c r="A30" s="317">
        <f t="shared" si="0"/>
        <v>24</v>
      </c>
      <c r="B30" s="318" t="s">
        <v>369</v>
      </c>
      <c r="C30" s="333">
        <f>E12</f>
        <v>45658087.522561505</v>
      </c>
      <c r="D30" s="325">
        <f>$C$30*D29</f>
        <v>29536684.414845098</v>
      </c>
      <c r="E30" s="325">
        <f t="shared" ref="E30:M30" si="6">$C$30*E29</f>
        <v>5753478.3898406224</v>
      </c>
      <c r="F30" s="325">
        <f t="shared" si="6"/>
        <v>4412907.1553281313</v>
      </c>
      <c r="G30" s="325">
        <f t="shared" si="6"/>
        <v>1939788.9235209359</v>
      </c>
      <c r="H30" s="325">
        <f t="shared" si="6"/>
        <v>2094386.3323688142</v>
      </c>
      <c r="I30" s="325">
        <f t="shared" si="6"/>
        <v>580597.20544143999</v>
      </c>
      <c r="J30" s="325">
        <f t="shared" si="6"/>
        <v>200797.36399710158</v>
      </c>
      <c r="K30" s="325">
        <f t="shared" si="6"/>
        <v>118520.63597314645</v>
      </c>
      <c r="L30" s="325">
        <f t="shared" si="6"/>
        <v>982153.2543788742</v>
      </c>
      <c r="M30" s="325">
        <f t="shared" si="6"/>
        <v>38773.846867354558</v>
      </c>
    </row>
    <row r="31" spans="1:13" ht="13" x14ac:dyDescent="0.3">
      <c r="A31" s="317">
        <f t="shared" si="0"/>
        <v>25</v>
      </c>
      <c r="B31" s="318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</row>
    <row r="32" spans="1:13" ht="13" x14ac:dyDescent="0.3">
      <c r="A32" s="317">
        <f t="shared" si="0"/>
        <v>26</v>
      </c>
      <c r="B32" s="327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</row>
    <row r="33" spans="1:13" ht="13" x14ac:dyDescent="0.3">
      <c r="A33" s="317">
        <f t="shared" si="0"/>
        <v>27</v>
      </c>
      <c r="B33" s="336" t="s">
        <v>347</v>
      </c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</row>
    <row r="34" spans="1:13" ht="13" x14ac:dyDescent="0.3">
      <c r="A34" s="317">
        <f t="shared" si="0"/>
        <v>28</v>
      </c>
      <c r="B34" s="318" t="s">
        <v>349</v>
      </c>
      <c r="C34" s="325">
        <v>582841970.48999989</v>
      </c>
      <c r="D34" s="325">
        <v>285241956.64519405</v>
      </c>
      <c r="E34" s="325">
        <v>64570036.957191288</v>
      </c>
      <c r="F34" s="325">
        <v>71573678.682412505</v>
      </c>
      <c r="G34" s="325">
        <v>47960386.42384474</v>
      </c>
      <c r="H34" s="325">
        <v>33043739.754995074</v>
      </c>
      <c r="I34" s="325">
        <v>17599964.610347219</v>
      </c>
      <c r="J34" s="325">
        <v>12964453.863356486</v>
      </c>
      <c r="K34" s="325">
        <v>44387745.311653435</v>
      </c>
      <c r="L34" s="325">
        <v>1994122.6333618714</v>
      </c>
      <c r="M34" s="325">
        <v>3505885.6076431838</v>
      </c>
    </row>
    <row r="35" spans="1:13" ht="13" x14ac:dyDescent="0.3">
      <c r="A35" s="317">
        <f t="shared" si="0"/>
        <v>29</v>
      </c>
      <c r="B35" s="327" t="s">
        <v>350</v>
      </c>
      <c r="C35" s="328">
        <v>-171404863.2700001</v>
      </c>
      <c r="D35" s="328">
        <v>-83885274.31635201</v>
      </c>
      <c r="E35" s="328">
        <v>-18989055.209393367</v>
      </c>
      <c r="F35" s="328">
        <v>-21048718.5711351</v>
      </c>
      <c r="G35" s="328">
        <v>-14104412.334005935</v>
      </c>
      <c r="H35" s="328">
        <v>-9717655.8679752387</v>
      </c>
      <c r="I35" s="328">
        <v>-5175879.0209586769</v>
      </c>
      <c r="J35" s="328">
        <v>-3812646.5737370402</v>
      </c>
      <c r="K35" s="328">
        <v>-13053753.506479995</v>
      </c>
      <c r="L35" s="328">
        <v>-586440.8100666604</v>
      </c>
      <c r="M35" s="328">
        <v>-1031027.059896078</v>
      </c>
    </row>
    <row r="36" spans="1:13" ht="13" x14ac:dyDescent="0.3">
      <c r="A36" s="317">
        <f t="shared" si="0"/>
        <v>30</v>
      </c>
      <c r="B36" s="318" t="s">
        <v>351</v>
      </c>
      <c r="C36" s="325">
        <f>SUM(C34:C35)</f>
        <v>411437107.21999979</v>
      </c>
      <c r="D36" s="325">
        <f t="shared" ref="D36:M36" si="7">SUM(D34:D35)</f>
        <v>201356682.32884204</v>
      </c>
      <c r="E36" s="325">
        <f t="shared" si="7"/>
        <v>45580981.747797921</v>
      </c>
      <c r="F36" s="325">
        <f t="shared" si="7"/>
        <v>50524960.111277401</v>
      </c>
      <c r="G36" s="325">
        <f t="shared" si="7"/>
        <v>33855974.089838803</v>
      </c>
      <c r="H36" s="325">
        <f t="shared" si="7"/>
        <v>23326083.887019835</v>
      </c>
      <c r="I36" s="325">
        <f t="shared" si="7"/>
        <v>12424085.589388542</v>
      </c>
      <c r="J36" s="325">
        <f t="shared" si="7"/>
        <v>9151807.2896194458</v>
      </c>
      <c r="K36" s="325">
        <f t="shared" si="7"/>
        <v>31333991.805173442</v>
      </c>
      <c r="L36" s="325">
        <f t="shared" si="7"/>
        <v>1407681.823295211</v>
      </c>
      <c r="M36" s="325">
        <f t="shared" si="7"/>
        <v>2474858.5477471058</v>
      </c>
    </row>
    <row r="37" spans="1:13" ht="13" x14ac:dyDescent="0.3">
      <c r="A37" s="317">
        <f t="shared" si="0"/>
        <v>31</v>
      </c>
      <c r="B37" s="317" t="s">
        <v>370</v>
      </c>
      <c r="C37" s="329">
        <f>C36/$C$36</f>
        <v>1</v>
      </c>
      <c r="D37" s="329">
        <f>D36/$C$36</f>
        <v>0.48939844947231387</v>
      </c>
      <c r="E37" s="329">
        <f t="shared" ref="E37:M37" si="8">E36/$C$36</f>
        <v>0.11078480999387663</v>
      </c>
      <c r="F37" s="329">
        <f t="shared" si="8"/>
        <v>0.12280117477167943</v>
      </c>
      <c r="G37" s="329">
        <f t="shared" si="8"/>
        <v>8.2287118725379457E-2</v>
      </c>
      <c r="H37" s="329">
        <f t="shared" si="8"/>
        <v>5.669416656321942E-2</v>
      </c>
      <c r="I37" s="329">
        <f t="shared" si="8"/>
        <v>3.0196803767495992E-2</v>
      </c>
      <c r="J37" s="329">
        <f t="shared" si="8"/>
        <v>2.2243514571294799E-2</v>
      </c>
      <c r="K37" s="329">
        <f t="shared" si="8"/>
        <v>7.615742784332484E-2</v>
      </c>
      <c r="L37" s="329">
        <f t="shared" si="8"/>
        <v>3.421377893711732E-3</v>
      </c>
      <c r="M37" s="329">
        <f t="shared" si="8"/>
        <v>6.0151563977037508E-3</v>
      </c>
    </row>
    <row r="38" spans="1:13" ht="13" x14ac:dyDescent="0.3">
      <c r="A38" s="317">
        <f t="shared" si="0"/>
        <v>32</v>
      </c>
      <c r="B38" s="318" t="s">
        <v>371</v>
      </c>
      <c r="C38" s="334">
        <f>F12</f>
        <v>6076780.2981113549</v>
      </c>
      <c r="D38" s="325">
        <f>$C$38*D37</f>
        <v>2973966.8556796024</v>
      </c>
      <c r="E38" s="325">
        <f t="shared" ref="E38:M38" si="9">$C$38*E37</f>
        <v>673214.95070079947</v>
      </c>
      <c r="F38" s="325">
        <f t="shared" si="9"/>
        <v>746235.7594374707</v>
      </c>
      <c r="G38" s="325">
        <f t="shared" si="9"/>
        <v>500040.74185873586</v>
      </c>
      <c r="H38" s="325">
        <f t="shared" si="9"/>
        <v>344517.99438921531</v>
      </c>
      <c r="I38" s="325">
        <f t="shared" si="9"/>
        <v>183499.34220025438</v>
      </c>
      <c r="J38" s="325">
        <f t="shared" si="9"/>
        <v>135168.95110759707</v>
      </c>
      <c r="K38" s="325">
        <f t="shared" si="9"/>
        <v>462791.95707315352</v>
      </c>
      <c r="L38" s="325">
        <f t="shared" si="9"/>
        <v>20790.961776901178</v>
      </c>
      <c r="M38" s="325">
        <f t="shared" si="9"/>
        <v>36552.783887624624</v>
      </c>
    </row>
    <row r="39" spans="1:13" ht="13" x14ac:dyDescent="0.3">
      <c r="A39" s="317">
        <f t="shared" si="0"/>
        <v>33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</row>
    <row r="40" spans="1:13" ht="13.5" thickBot="1" x14ac:dyDescent="0.35">
      <c r="A40" s="317">
        <f t="shared" si="0"/>
        <v>34</v>
      </c>
      <c r="B40" s="337" t="s">
        <v>372</v>
      </c>
      <c r="C40" s="338">
        <f>C22+C30+C38</f>
        <v>52775723.339309976</v>
      </c>
      <c r="D40" s="339">
        <f t="shared" ref="D40:M40" si="10">D22+D30+D38</f>
        <v>33149896.000710089</v>
      </c>
      <c r="E40" s="339">
        <f t="shared" si="10"/>
        <v>6550856.2813771125</v>
      </c>
      <c r="F40" s="339">
        <f t="shared" si="10"/>
        <v>5265384.5378416767</v>
      </c>
      <c r="G40" s="339">
        <f t="shared" si="10"/>
        <v>2502362.995291146</v>
      </c>
      <c r="H40" s="339">
        <f t="shared" si="10"/>
        <v>2487519.1211774866</v>
      </c>
      <c r="I40" s="339">
        <f t="shared" si="10"/>
        <v>787694.67414035485</v>
      </c>
      <c r="J40" s="339">
        <f t="shared" si="10"/>
        <v>351011.99877091951</v>
      </c>
      <c r="K40" s="339">
        <f t="shared" si="10"/>
        <v>589857.76947553351</v>
      </c>
      <c r="L40" s="339">
        <f t="shared" si="10"/>
        <v>1014585.0283075927</v>
      </c>
      <c r="M40" s="339">
        <f t="shared" si="10"/>
        <v>76554.932218072237</v>
      </c>
    </row>
    <row r="41" spans="1:13" ht="13.5" thickTop="1" x14ac:dyDescent="0.3">
      <c r="A41" s="317">
        <f t="shared" si="0"/>
        <v>35</v>
      </c>
      <c r="B41" s="318" t="s">
        <v>373</v>
      </c>
      <c r="C41" s="318"/>
      <c r="D41" s="328">
        <v>33164734.139871296</v>
      </c>
      <c r="E41" s="328">
        <v>6555992.1966490224</v>
      </c>
      <c r="F41" s="328">
        <v>5262939.8818881419</v>
      </c>
      <c r="G41" s="328">
        <v>2488916.6792007494</v>
      </c>
      <c r="H41" s="328">
        <v>2487972.7236607396</v>
      </c>
      <c r="I41" s="328">
        <v>779469.43138310441</v>
      </c>
      <c r="J41" s="328">
        <v>342725.63252220961</v>
      </c>
      <c r="K41" s="328">
        <v>593008.04035318794</v>
      </c>
      <c r="L41" s="328">
        <v>1023122.48404832</v>
      </c>
      <c r="M41" s="328">
        <v>76842.129733220121</v>
      </c>
    </row>
    <row r="42" spans="1:13" ht="13" x14ac:dyDescent="0.3">
      <c r="A42" s="317">
        <f t="shared" si="0"/>
        <v>36</v>
      </c>
      <c r="B42" s="318" t="s">
        <v>374</v>
      </c>
      <c r="C42" s="318"/>
      <c r="D42" s="325">
        <f>D40-D41</f>
        <v>-14838.139161206782</v>
      </c>
      <c r="E42" s="325">
        <f t="shared" ref="E42:M42" si="11">E40-E41</f>
        <v>-5135.9152719099075</v>
      </c>
      <c r="F42" s="325">
        <f t="shared" si="11"/>
        <v>2444.6559535348788</v>
      </c>
      <c r="G42" s="325">
        <f t="shared" si="11"/>
        <v>13446.316090396605</v>
      </c>
      <c r="H42" s="325">
        <f t="shared" si="11"/>
        <v>-453.60248325299472</v>
      </c>
      <c r="I42" s="325">
        <f t="shared" si="11"/>
        <v>8225.2427572504384</v>
      </c>
      <c r="J42" s="325">
        <f t="shared" si="11"/>
        <v>8286.3662487099064</v>
      </c>
      <c r="K42" s="325">
        <f t="shared" si="11"/>
        <v>-3150.2708776544314</v>
      </c>
      <c r="L42" s="325">
        <f t="shared" si="11"/>
        <v>-8537.4557407272514</v>
      </c>
      <c r="M42" s="325">
        <f t="shared" si="11"/>
        <v>-287.19751514788368</v>
      </c>
    </row>
    <row r="43" spans="1:13" ht="13" x14ac:dyDescent="0.3">
      <c r="A43" s="317">
        <f t="shared" si="0"/>
        <v>37</v>
      </c>
      <c r="B43" s="318"/>
      <c r="C43" s="318"/>
      <c r="D43" s="335"/>
      <c r="E43" s="318"/>
      <c r="F43" s="318"/>
      <c r="G43" s="318"/>
      <c r="H43" s="318"/>
      <c r="I43" s="318"/>
      <c r="J43" s="318"/>
      <c r="K43" s="318"/>
      <c r="L43" s="318"/>
      <c r="M43" s="318"/>
    </row>
    <row r="44" spans="1:13" ht="13" x14ac:dyDescent="0.3">
      <c r="A44" s="317">
        <f t="shared" si="0"/>
        <v>38</v>
      </c>
      <c r="B44" s="318" t="s">
        <v>375</v>
      </c>
      <c r="C44" s="318"/>
      <c r="D44" s="329">
        <f>D40/($C$40-$M$40)</f>
        <v>0.62904021074171257</v>
      </c>
      <c r="E44" s="329">
        <f t="shared" ref="E44:L44" si="12">E40/($C$40-$M$40)</f>
        <v>0.12430663479872943</v>
      </c>
      <c r="F44" s="329">
        <f t="shared" si="12"/>
        <v>9.9913996690943918E-2</v>
      </c>
      <c r="G44" s="329">
        <f t="shared" si="12"/>
        <v>4.7483918075534468E-2</v>
      </c>
      <c r="H44" s="329">
        <f t="shared" si="12"/>
        <v>4.7202246190335195E-2</v>
      </c>
      <c r="I44" s="329">
        <f t="shared" si="12"/>
        <v>1.4947003870261303E-2</v>
      </c>
      <c r="J44" s="329">
        <f t="shared" si="12"/>
        <v>6.6606743404262654E-3</v>
      </c>
      <c r="K44" s="329">
        <f t="shared" si="12"/>
        <v>1.1192923670426541E-2</v>
      </c>
      <c r="L44" s="329">
        <f t="shared" si="12"/>
        <v>1.9252391621630536E-2</v>
      </c>
      <c r="M44" s="318"/>
    </row>
    <row r="45" spans="1:13" ht="13" x14ac:dyDescent="0.3">
      <c r="A45" s="317">
        <f t="shared" si="0"/>
        <v>39</v>
      </c>
      <c r="B45" s="318" t="s">
        <v>376</v>
      </c>
      <c r="C45" s="318"/>
      <c r="D45" s="325">
        <f t="shared" ref="D45:L45" si="13">D44*$M$40</f>
        <v>48156.130695773682</v>
      </c>
      <c r="E45" s="325">
        <f t="shared" si="13"/>
        <v>9516.2860012733909</v>
      </c>
      <c r="F45" s="325">
        <f t="shared" si="13"/>
        <v>7648.9092443119052</v>
      </c>
      <c r="G45" s="325">
        <f t="shared" si="13"/>
        <v>3635.1281297210362</v>
      </c>
      <c r="H45" s="325">
        <f t="shared" si="13"/>
        <v>3613.5647576418692</v>
      </c>
      <c r="I45" s="325">
        <f t="shared" si="13"/>
        <v>1144.2668681511175</v>
      </c>
      <c r="J45" s="325">
        <f t="shared" si="13"/>
        <v>509.90747265798575</v>
      </c>
      <c r="K45" s="325">
        <f t="shared" si="13"/>
        <v>856.87351291156017</v>
      </c>
      <c r="L45" s="325">
        <f t="shared" si="13"/>
        <v>1473.8655356297074</v>
      </c>
      <c r="M45" s="318"/>
    </row>
    <row r="46" spans="1:13" ht="14" thickBot="1" x14ac:dyDescent="0.4">
      <c r="A46" s="317">
        <f t="shared" si="0"/>
        <v>40</v>
      </c>
      <c r="B46" s="340" t="s">
        <v>377</v>
      </c>
      <c r="C46" s="341">
        <f>SUM(D46:M46)</f>
        <v>52775723.339309976</v>
      </c>
      <c r="D46" s="342">
        <f t="shared" ref="D46:L46" si="14">D40+D45</f>
        <v>33198052.131405864</v>
      </c>
      <c r="E46" s="342">
        <f t="shared" si="14"/>
        <v>6560372.5673783859</v>
      </c>
      <c r="F46" s="342">
        <f t="shared" si="14"/>
        <v>5273033.4470859887</v>
      </c>
      <c r="G46" s="342">
        <f t="shared" si="14"/>
        <v>2505998.1234208671</v>
      </c>
      <c r="H46" s="342">
        <f t="shared" si="14"/>
        <v>2491132.6859351285</v>
      </c>
      <c r="I46" s="342">
        <f t="shared" si="14"/>
        <v>788838.94100850599</v>
      </c>
      <c r="J46" s="342">
        <f t="shared" si="14"/>
        <v>351521.90624357748</v>
      </c>
      <c r="K46" s="342">
        <f t="shared" si="14"/>
        <v>590714.64298844512</v>
      </c>
      <c r="L46" s="342">
        <f t="shared" si="14"/>
        <v>1016058.8938432224</v>
      </c>
      <c r="M46" s="342">
        <v>0</v>
      </c>
    </row>
    <row r="47" spans="1:13" ht="13.5" thickTop="1" x14ac:dyDescent="0.3">
      <c r="A47" s="317">
        <f t="shared" si="0"/>
        <v>41</v>
      </c>
      <c r="B47" s="318" t="s">
        <v>374</v>
      </c>
      <c r="C47" s="318"/>
      <c r="D47" s="325">
        <f>D46-D41</f>
        <v>33317.991534568369</v>
      </c>
      <c r="E47" s="325">
        <f t="shared" ref="E47:M47" si="15">E46-E41</f>
        <v>4380.3707293635234</v>
      </c>
      <c r="F47" s="325">
        <f t="shared" si="15"/>
        <v>10093.565197846852</v>
      </c>
      <c r="G47" s="325">
        <f t="shared" si="15"/>
        <v>17081.444220117759</v>
      </c>
      <c r="H47" s="325">
        <f t="shared" si="15"/>
        <v>3159.9622743888758</v>
      </c>
      <c r="I47" s="325">
        <f t="shared" si="15"/>
        <v>9369.5096254015807</v>
      </c>
      <c r="J47" s="325">
        <f t="shared" si="15"/>
        <v>8796.2737213678774</v>
      </c>
      <c r="K47" s="325">
        <f t="shared" si="15"/>
        <v>-2293.3973647428211</v>
      </c>
      <c r="L47" s="325">
        <f t="shared" si="15"/>
        <v>-7063.590205097571</v>
      </c>
      <c r="M47" s="325">
        <f t="shared" si="15"/>
        <v>-76842.129733220121</v>
      </c>
    </row>
  </sheetData>
  <mergeCells count="6">
    <mergeCell ref="C14:M14"/>
    <mergeCell ref="A1:M1"/>
    <mergeCell ref="A2:M2"/>
    <mergeCell ref="A3:M3"/>
    <mergeCell ref="A4:M4"/>
    <mergeCell ref="C5:F5"/>
  </mergeCells>
  <pageMargins left="0.7" right="0.7" top="0.75" bottom="0.75" header="0.3" footer="0.3"/>
  <pageSetup scale="59" orientation="landscape" r:id="rId1"/>
  <headerFooter>
    <oddHeader>&amp;R2014 Sales of Asset Filing
Advice 2014-xx
Page &amp;P of &amp;N</oddHeader>
    <oddFooter>&amp;L&amp;F
&amp;A&amp;R&amp;D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BJ21"/>
  <sheetViews>
    <sheetView zoomScale="90" zoomScaleNormal="90" workbookViewId="0">
      <pane xSplit="3" ySplit="6" topLeftCell="AM10" activePane="bottomRight" state="frozen"/>
      <selection sqref="A1:O21"/>
      <selection pane="topRight" sqref="A1:O21"/>
      <selection pane="bottomLeft" sqref="A1:O21"/>
      <selection pane="bottomRight" activeCell="K41" sqref="K41"/>
    </sheetView>
  </sheetViews>
  <sheetFormatPr defaultColWidth="8.81640625" defaultRowHeight="12.5" x14ac:dyDescent="0.25"/>
  <cols>
    <col min="1" max="1" width="5.81640625" style="241" customWidth="1"/>
    <col min="2" max="2" width="6.26953125" style="241" bestFit="1" customWidth="1"/>
    <col min="3" max="3" width="2.7265625" style="241" customWidth="1"/>
    <col min="4" max="4" width="12.1796875" style="241" bestFit="1" customWidth="1"/>
    <col min="5" max="5" width="8" style="241" bestFit="1" customWidth="1"/>
    <col min="6" max="6" width="2.54296875" style="241" customWidth="1"/>
    <col min="7" max="7" width="11.81640625" style="241" customWidth="1"/>
    <col min="8" max="8" width="2.7265625" style="241" customWidth="1"/>
    <col min="9" max="9" width="10.26953125" style="241" bestFit="1" customWidth="1"/>
    <col min="10" max="10" width="8.453125" style="241" customWidth="1"/>
    <col min="11" max="11" width="10.26953125" style="241" customWidth="1"/>
    <col min="12" max="12" width="9" style="241" customWidth="1"/>
    <col min="13" max="13" width="11.7265625" style="241" customWidth="1"/>
    <col min="14" max="14" width="11.54296875" style="241" customWidth="1"/>
    <col min="15" max="15" width="12" style="241" customWidth="1"/>
    <col min="16" max="16" width="8.453125" style="241" customWidth="1"/>
    <col min="17" max="17" width="10" style="241" customWidth="1"/>
    <col min="18" max="18" width="7.81640625" style="241" bestFit="1" customWidth="1"/>
    <col min="19" max="19" width="9.7265625" style="241" customWidth="1"/>
    <col min="20" max="20" width="10" style="241" customWidth="1"/>
    <col min="21" max="21" width="8" style="241" customWidth="1"/>
    <col min="22" max="22" width="9.26953125" style="241" customWidth="1"/>
    <col min="23" max="26" width="7.81640625" style="241" bestFit="1" customWidth="1"/>
    <col min="27" max="27" width="2.7265625" style="241" customWidth="1"/>
    <col min="28" max="28" width="11.453125" style="241" customWidth="1"/>
    <col min="29" max="29" width="2.7265625" style="241" customWidth="1"/>
    <col min="30" max="30" width="8.26953125" style="241" bestFit="1" customWidth="1"/>
    <col min="31" max="31" width="10.26953125" style="241" customWidth="1"/>
    <col min="32" max="32" width="9.81640625" style="241" customWidth="1"/>
    <col min="33" max="33" width="9.7265625" style="241" customWidth="1"/>
    <col min="34" max="35" width="8.26953125" style="241" bestFit="1" customWidth="1"/>
    <col min="36" max="36" width="9.1796875" style="241" customWidth="1"/>
    <col min="37" max="37" width="2.7265625" style="241" customWidth="1"/>
    <col min="38" max="38" width="12" style="241" customWidth="1"/>
    <col min="39" max="39" width="2.7265625" style="241" customWidth="1"/>
    <col min="40" max="40" width="9.1796875" style="241" bestFit="1" customWidth="1"/>
    <col min="41" max="42" width="8.7265625" style="241" bestFit="1" customWidth="1"/>
    <col min="43" max="44" width="7.81640625" style="241" bestFit="1" customWidth="1"/>
    <col min="45" max="45" width="9.453125" style="241" customWidth="1"/>
    <col min="46" max="46" width="9" style="241" customWidth="1"/>
    <col min="47" max="48" width="7.81640625" style="241" bestFit="1" customWidth="1"/>
    <col min="49" max="49" width="2.7265625" style="241" customWidth="1"/>
    <col min="50" max="50" width="9" style="241" customWidth="1"/>
    <col min="51" max="51" width="2.7265625" style="241" customWidth="1"/>
    <col min="52" max="52" width="7.81640625" style="241" bestFit="1" customWidth="1"/>
    <col min="53" max="53" width="2.7265625" style="241" customWidth="1"/>
    <col min="54" max="54" width="12.1796875" style="241" customWidth="1"/>
    <col min="55" max="55" width="2.7265625" style="241" customWidth="1"/>
    <col min="56" max="56" width="9.81640625" style="241" bestFit="1" customWidth="1"/>
    <col min="57" max="57" width="11.1796875" style="241" customWidth="1"/>
    <col min="58" max="58" width="9.26953125" style="241" bestFit="1" customWidth="1"/>
    <col min="59" max="59" width="2.7265625" style="241" customWidth="1"/>
    <col min="60" max="60" width="11.7265625" style="241" customWidth="1"/>
    <col min="61" max="61" width="2.7265625" style="241" customWidth="1"/>
    <col min="62" max="62" width="12.54296875" style="241" bestFit="1" customWidth="1"/>
    <col min="63" max="16384" width="8.81640625" style="241"/>
  </cols>
  <sheetData>
    <row r="1" spans="1:62" ht="70.900000000000006" customHeight="1" x14ac:dyDescent="0.3">
      <c r="A1" s="366" t="s">
        <v>318</v>
      </c>
      <c r="B1" s="366"/>
      <c r="C1" s="366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</row>
    <row r="2" spans="1:62" ht="30.65" customHeight="1" x14ac:dyDescent="0.3">
      <c r="A2" s="367" t="s">
        <v>305</v>
      </c>
      <c r="B2" s="367"/>
      <c r="C2" s="367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74"/>
      <c r="BC2" s="243"/>
      <c r="BD2" s="243"/>
      <c r="BE2" s="243"/>
      <c r="BF2" s="243"/>
      <c r="BG2" s="243"/>
      <c r="BH2" s="243"/>
      <c r="BI2" s="243"/>
      <c r="BJ2" s="243"/>
    </row>
    <row r="3" spans="1:62" ht="13.5" thickBot="1" x14ac:dyDescent="0.35">
      <c r="A3" s="243"/>
      <c r="B3" s="243"/>
      <c r="C3" s="243"/>
      <c r="D3" s="289"/>
      <c r="E3" s="272"/>
      <c r="F3" s="272"/>
      <c r="G3" s="272"/>
      <c r="H3" s="273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3"/>
      <c r="AD3" s="272"/>
      <c r="AE3" s="272"/>
      <c r="AF3" s="272"/>
      <c r="AG3" s="272"/>
      <c r="AH3" s="272"/>
      <c r="AI3" s="272"/>
      <c r="AJ3" s="272"/>
      <c r="AK3" s="272"/>
      <c r="AL3" s="272"/>
      <c r="AM3" s="273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3"/>
      <c r="AZ3" s="272"/>
      <c r="BA3" s="273"/>
      <c r="BB3" s="272"/>
      <c r="BC3" s="273"/>
      <c r="BD3" s="272"/>
      <c r="BE3" s="272"/>
      <c r="BF3" s="272"/>
      <c r="BG3" s="272"/>
      <c r="BH3" s="248"/>
      <c r="BI3" s="271"/>
      <c r="BJ3" s="248"/>
    </row>
    <row r="4" spans="1:62" x14ac:dyDescent="0.25">
      <c r="A4" s="248"/>
      <c r="B4" s="248"/>
      <c r="C4" s="254"/>
      <c r="D4" s="270" t="s">
        <v>1</v>
      </c>
      <c r="E4" s="265"/>
      <c r="F4" s="265"/>
      <c r="G4" s="268"/>
      <c r="H4" s="245"/>
      <c r="I4" s="270" t="s">
        <v>303</v>
      </c>
      <c r="J4" s="265"/>
      <c r="K4" s="265"/>
      <c r="L4" s="265"/>
      <c r="M4" s="265"/>
      <c r="N4" s="265"/>
      <c r="O4" s="265"/>
      <c r="P4" s="269"/>
      <c r="Q4" s="265"/>
      <c r="R4" s="265"/>
      <c r="S4" s="265"/>
      <c r="T4" s="265"/>
      <c r="U4" s="265"/>
      <c r="V4" s="265"/>
      <c r="W4" s="265"/>
      <c r="X4" s="269"/>
      <c r="Y4" s="265"/>
      <c r="Z4" s="265"/>
      <c r="AA4" s="265"/>
      <c r="AB4" s="268"/>
      <c r="AC4" s="245"/>
      <c r="AD4" s="270" t="s">
        <v>302</v>
      </c>
      <c r="AE4" s="265"/>
      <c r="AF4" s="265"/>
      <c r="AG4" s="265"/>
      <c r="AH4" s="265"/>
      <c r="AI4" s="265"/>
      <c r="AJ4" s="265"/>
      <c r="AK4" s="265"/>
      <c r="AL4" s="268"/>
      <c r="AM4" s="245"/>
      <c r="AN4" s="270" t="s">
        <v>301</v>
      </c>
      <c r="AO4" s="265"/>
      <c r="AP4" s="265"/>
      <c r="AQ4" s="265"/>
      <c r="AR4" s="265"/>
      <c r="AS4" s="265"/>
      <c r="AT4" s="265"/>
      <c r="AU4" s="269"/>
      <c r="AV4" s="265"/>
      <c r="AW4" s="265"/>
      <c r="AX4" s="268"/>
      <c r="AY4" s="245"/>
      <c r="AZ4" s="267" t="s">
        <v>300</v>
      </c>
      <c r="BA4" s="245"/>
      <c r="BB4" s="267" t="s">
        <v>78</v>
      </c>
      <c r="BC4" s="245"/>
      <c r="BD4" s="266" t="s">
        <v>299</v>
      </c>
      <c r="BE4" s="265"/>
      <c r="BF4" s="264"/>
      <c r="BG4" s="264"/>
      <c r="BH4" s="263"/>
      <c r="BI4" s="243"/>
      <c r="BJ4" s="262" t="s">
        <v>298</v>
      </c>
    </row>
    <row r="5" spans="1:62" ht="13" thickBot="1" x14ac:dyDescent="0.3">
      <c r="A5" s="261" t="s">
        <v>297</v>
      </c>
      <c r="B5" s="261" t="s">
        <v>28</v>
      </c>
      <c r="C5" s="260"/>
      <c r="D5" s="259" t="s">
        <v>296</v>
      </c>
      <c r="E5" s="258" t="s">
        <v>295</v>
      </c>
      <c r="F5" s="258"/>
      <c r="G5" s="257" t="s">
        <v>78</v>
      </c>
      <c r="H5" s="258"/>
      <c r="I5" s="259" t="s">
        <v>294</v>
      </c>
      <c r="J5" s="258" t="s">
        <v>293</v>
      </c>
      <c r="K5" s="258" t="s">
        <v>292</v>
      </c>
      <c r="L5" s="258" t="s">
        <v>291</v>
      </c>
      <c r="M5" s="258" t="s">
        <v>290</v>
      </c>
      <c r="N5" s="258" t="s">
        <v>289</v>
      </c>
      <c r="O5" s="258" t="s">
        <v>288</v>
      </c>
      <c r="P5" s="258" t="s">
        <v>287</v>
      </c>
      <c r="Q5" s="258" t="s">
        <v>286</v>
      </c>
      <c r="R5" s="258" t="s">
        <v>285</v>
      </c>
      <c r="S5" s="258" t="s">
        <v>284</v>
      </c>
      <c r="T5" s="258" t="s">
        <v>283</v>
      </c>
      <c r="U5" s="258" t="s">
        <v>282</v>
      </c>
      <c r="V5" s="258" t="s">
        <v>281</v>
      </c>
      <c r="W5" s="258" t="s">
        <v>280</v>
      </c>
      <c r="X5" s="258" t="s">
        <v>279</v>
      </c>
      <c r="Y5" s="258" t="s">
        <v>278</v>
      </c>
      <c r="Z5" s="258" t="s">
        <v>277</v>
      </c>
      <c r="AA5" s="258"/>
      <c r="AB5" s="257" t="s">
        <v>78</v>
      </c>
      <c r="AC5" s="258"/>
      <c r="AD5" s="259" t="s">
        <v>276</v>
      </c>
      <c r="AE5" s="258" t="s">
        <v>275</v>
      </c>
      <c r="AF5" s="258" t="s">
        <v>274</v>
      </c>
      <c r="AG5" s="258" t="s">
        <v>273</v>
      </c>
      <c r="AH5" s="258" t="s">
        <v>272</v>
      </c>
      <c r="AI5" s="258" t="s">
        <v>271</v>
      </c>
      <c r="AJ5" s="258" t="s">
        <v>270</v>
      </c>
      <c r="AK5" s="258"/>
      <c r="AL5" s="257" t="s">
        <v>78</v>
      </c>
      <c r="AM5" s="258"/>
      <c r="AN5" s="259" t="s">
        <v>269</v>
      </c>
      <c r="AO5" s="258" t="s">
        <v>268</v>
      </c>
      <c r="AP5" s="258" t="s">
        <v>267</v>
      </c>
      <c r="AQ5" s="258" t="s">
        <v>266</v>
      </c>
      <c r="AR5" s="258" t="s">
        <v>265</v>
      </c>
      <c r="AS5" s="258" t="s">
        <v>264</v>
      </c>
      <c r="AT5" s="258" t="s">
        <v>263</v>
      </c>
      <c r="AU5" s="258" t="s">
        <v>262</v>
      </c>
      <c r="AV5" s="258" t="s">
        <v>261</v>
      </c>
      <c r="AW5" s="258"/>
      <c r="AX5" s="257" t="s">
        <v>78</v>
      </c>
      <c r="AY5" s="258"/>
      <c r="AZ5" s="256" t="s">
        <v>260</v>
      </c>
      <c r="BA5" s="258"/>
      <c r="BB5" s="256"/>
      <c r="BC5" s="258"/>
      <c r="BD5" s="259" t="s">
        <v>259</v>
      </c>
      <c r="BE5" s="258" t="s">
        <v>258</v>
      </c>
      <c r="BF5" s="258" t="s">
        <v>257</v>
      </c>
      <c r="BG5" s="258"/>
      <c r="BH5" s="257" t="s">
        <v>78</v>
      </c>
      <c r="BI5" s="244"/>
      <c r="BJ5" s="256" t="s">
        <v>256</v>
      </c>
    </row>
    <row r="6" spans="1:62" ht="3" customHeight="1" x14ac:dyDescent="0.25">
      <c r="A6" s="248"/>
      <c r="B6" s="248"/>
      <c r="C6" s="254"/>
      <c r="D6" s="255"/>
      <c r="E6" s="248"/>
      <c r="F6" s="248"/>
      <c r="G6" s="254"/>
      <c r="H6" s="243"/>
      <c r="I6" s="255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54"/>
      <c r="AC6" s="243"/>
      <c r="AD6" s="255"/>
      <c r="AE6" s="248"/>
      <c r="AF6" s="248"/>
      <c r="AG6" s="248"/>
      <c r="AH6" s="248"/>
      <c r="AI6" s="248"/>
      <c r="AJ6" s="248"/>
      <c r="AK6" s="248"/>
      <c r="AL6" s="254"/>
      <c r="AM6" s="243"/>
      <c r="AN6" s="255"/>
      <c r="AO6" s="248"/>
      <c r="AP6" s="248"/>
      <c r="AQ6" s="248"/>
      <c r="AR6" s="248"/>
      <c r="AS6" s="248"/>
      <c r="AT6" s="248"/>
      <c r="AU6" s="248"/>
      <c r="AV6" s="248"/>
      <c r="AW6" s="248"/>
      <c r="AX6" s="254"/>
      <c r="AY6" s="243"/>
      <c r="AZ6" s="253"/>
      <c r="BA6" s="243"/>
      <c r="BB6" s="253"/>
      <c r="BC6" s="243"/>
      <c r="BD6" s="255"/>
      <c r="BE6" s="248"/>
      <c r="BF6" s="248"/>
      <c r="BG6" s="248"/>
      <c r="BH6" s="254"/>
      <c r="BI6" s="243"/>
      <c r="BJ6" s="253"/>
    </row>
    <row r="7" spans="1:62" ht="3" customHeight="1" x14ac:dyDescent="0.25">
      <c r="A7" s="243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</row>
    <row r="8" spans="1:62" x14ac:dyDescent="0.25">
      <c r="A8" s="245">
        <v>2014</v>
      </c>
      <c r="B8" s="245">
        <v>10</v>
      </c>
      <c r="C8" s="245"/>
      <c r="D8" s="250">
        <v>709844.04444724915</v>
      </c>
      <c r="E8" s="249">
        <v>227.51965868959149</v>
      </c>
      <c r="F8" s="248"/>
      <c r="G8" s="252">
        <v>710071.56410593877</v>
      </c>
      <c r="H8" s="243"/>
      <c r="I8" s="250">
        <v>20626.297781601206</v>
      </c>
      <c r="J8" s="249">
        <v>2684.3227884514677</v>
      </c>
      <c r="K8" s="249">
        <v>13584.413901013453</v>
      </c>
      <c r="L8" s="249">
        <v>1709.8049767542418</v>
      </c>
      <c r="M8" s="249">
        <v>169289.20805121327</v>
      </c>
      <c r="N8" s="249">
        <v>204915.29995904278</v>
      </c>
      <c r="O8" s="249">
        <v>138440.95738094006</v>
      </c>
      <c r="P8" s="249">
        <v>1497.9369087889299</v>
      </c>
      <c r="Q8" s="249">
        <v>77013.801917159668</v>
      </c>
      <c r="R8" s="249">
        <v>642.39100136683612</v>
      </c>
      <c r="S8" s="249">
        <v>55895.775195949376</v>
      </c>
      <c r="T8" s="249">
        <v>9663.3879771056963</v>
      </c>
      <c r="U8" s="249">
        <v>0</v>
      </c>
      <c r="V8" s="249">
        <v>35832.010261642659</v>
      </c>
      <c r="W8" s="249">
        <v>181.29534171816005</v>
      </c>
      <c r="X8" s="249">
        <v>176.55852712090544</v>
      </c>
      <c r="Y8" s="249">
        <v>171.72773470838422</v>
      </c>
      <c r="Z8" s="249">
        <v>5.707426868544915</v>
      </c>
      <c r="AA8" s="248"/>
      <c r="AB8" s="252">
        <v>732330.89713144558</v>
      </c>
      <c r="AC8" s="243"/>
      <c r="AD8" s="250">
        <v>7027.7249990941673</v>
      </c>
      <c r="AE8" s="249">
        <v>15401.58841297799</v>
      </c>
      <c r="AF8" s="249">
        <v>21648.187437943456</v>
      </c>
      <c r="AG8" s="249">
        <v>37005.62824490371</v>
      </c>
      <c r="AH8" s="249">
        <v>4384.7891469936076</v>
      </c>
      <c r="AI8" s="249">
        <v>4675.0788192891705</v>
      </c>
      <c r="AJ8" s="249">
        <v>8814.6493720141698</v>
      </c>
      <c r="AK8" s="248"/>
      <c r="AL8" s="252">
        <v>98957.646433216272</v>
      </c>
      <c r="AM8" s="243"/>
      <c r="AN8" s="250">
        <v>0.54551217668589946</v>
      </c>
      <c r="AO8" s="249">
        <v>1283.5723932161686</v>
      </c>
      <c r="AP8" s="249">
        <v>78.828967269978051</v>
      </c>
      <c r="AQ8" s="249">
        <v>25.426530707530503</v>
      </c>
      <c r="AR8" s="249">
        <v>0.97055172127370726</v>
      </c>
      <c r="AS8" s="249">
        <v>1008.764112013399</v>
      </c>
      <c r="AT8" s="249">
        <v>3758.8233111761883</v>
      </c>
      <c r="AU8" s="249">
        <v>842.44762720984875</v>
      </c>
      <c r="AV8" s="249">
        <v>351.36594568416535</v>
      </c>
      <c r="AW8" s="248"/>
      <c r="AX8" s="252">
        <v>7350.7449511752384</v>
      </c>
      <c r="AY8" s="243"/>
      <c r="AZ8" s="251">
        <v>374.72901279893176</v>
      </c>
      <c r="BA8" s="243"/>
      <c r="BB8" s="246">
        <v>1549085.5816345748</v>
      </c>
      <c r="BC8" s="243"/>
      <c r="BD8" s="250">
        <v>6221.7786870070195</v>
      </c>
      <c r="BE8" s="249">
        <v>149303.24552269568</v>
      </c>
      <c r="BF8" s="249">
        <v>19238.54316832971</v>
      </c>
      <c r="BG8" s="248"/>
      <c r="BH8" s="247">
        <v>174763.56737803243</v>
      </c>
      <c r="BI8" s="243"/>
      <c r="BJ8" s="246">
        <v>1723849.1490126073</v>
      </c>
    </row>
    <row r="9" spans="1:62" x14ac:dyDescent="0.25">
      <c r="A9" s="245">
        <v>2014</v>
      </c>
      <c r="B9" s="245">
        <v>11</v>
      </c>
      <c r="C9" s="245"/>
      <c r="D9" s="250">
        <v>904812.37186976895</v>
      </c>
      <c r="E9" s="249">
        <v>269.0815751775267</v>
      </c>
      <c r="F9" s="248"/>
      <c r="G9" s="252">
        <v>905081.45344494644</v>
      </c>
      <c r="H9" s="243"/>
      <c r="I9" s="250">
        <v>23805.497315529472</v>
      </c>
      <c r="J9" s="249">
        <v>7107.0510312502211</v>
      </c>
      <c r="K9" s="249">
        <v>15781.024690085507</v>
      </c>
      <c r="L9" s="249">
        <v>3246.2416895738452</v>
      </c>
      <c r="M9" s="249">
        <v>180103.5091630143</v>
      </c>
      <c r="N9" s="249">
        <v>209808.0709746615</v>
      </c>
      <c r="O9" s="249">
        <v>140087.8186344266</v>
      </c>
      <c r="P9" s="249">
        <v>529.54686004764187</v>
      </c>
      <c r="Q9" s="249">
        <v>69551.499576688875</v>
      </c>
      <c r="R9" s="249">
        <v>274.2303770729095</v>
      </c>
      <c r="S9" s="249">
        <v>48923.576503389952</v>
      </c>
      <c r="T9" s="249">
        <v>12552.393006671684</v>
      </c>
      <c r="U9" s="249">
        <v>0.78986515803639457</v>
      </c>
      <c r="V9" s="249">
        <v>38286.403668223138</v>
      </c>
      <c r="W9" s="249">
        <v>178.65334112998607</v>
      </c>
      <c r="X9" s="249">
        <v>168.23019386560938</v>
      </c>
      <c r="Y9" s="249">
        <v>174.08155105559612</v>
      </c>
      <c r="Z9" s="249">
        <v>6.4794628242148686</v>
      </c>
      <c r="AA9" s="248"/>
      <c r="AB9" s="252">
        <v>750585.097904669</v>
      </c>
      <c r="AC9" s="243"/>
      <c r="AD9" s="250">
        <v>7719.1483952138042</v>
      </c>
      <c r="AE9" s="249">
        <v>15618.631755010847</v>
      </c>
      <c r="AF9" s="249">
        <v>20985.231276507518</v>
      </c>
      <c r="AG9" s="249">
        <v>37278.683951074003</v>
      </c>
      <c r="AH9" s="249">
        <v>4187.1964349993295</v>
      </c>
      <c r="AI9" s="249">
        <v>4915.7989987438132</v>
      </c>
      <c r="AJ9" s="249">
        <v>9160.6261243259978</v>
      </c>
      <c r="AK9" s="248"/>
      <c r="AL9" s="252">
        <v>99865.316935875322</v>
      </c>
      <c r="AM9" s="243"/>
      <c r="AN9" s="250">
        <v>0.54125213279019035</v>
      </c>
      <c r="AO9" s="249">
        <v>1513.1831093223966</v>
      </c>
      <c r="AP9" s="249">
        <v>83.505338281645166</v>
      </c>
      <c r="AQ9" s="249">
        <v>25.157025542825192</v>
      </c>
      <c r="AR9" s="249">
        <v>0.98342838468614846</v>
      </c>
      <c r="AS9" s="249">
        <v>989.54343651961244</v>
      </c>
      <c r="AT9" s="249">
        <v>3738.7735117730981</v>
      </c>
      <c r="AU9" s="249">
        <v>835.79224604337912</v>
      </c>
      <c r="AV9" s="249">
        <v>369.69270275441227</v>
      </c>
      <c r="AW9" s="248"/>
      <c r="AX9" s="252">
        <v>7557.1720507548453</v>
      </c>
      <c r="AY9" s="243"/>
      <c r="AZ9" s="251">
        <v>551.6904350803004</v>
      </c>
      <c r="BA9" s="243"/>
      <c r="BB9" s="246">
        <v>1763640.730771326</v>
      </c>
      <c r="BC9" s="243"/>
      <c r="BD9" s="250">
        <v>6497.3685568209694</v>
      </c>
      <c r="BE9" s="249">
        <v>148177.72482343609</v>
      </c>
      <c r="BF9" s="249">
        <v>20142.006609234548</v>
      </c>
      <c r="BG9" s="248"/>
      <c r="BH9" s="247">
        <v>174817.0999894916</v>
      </c>
      <c r="BI9" s="243"/>
      <c r="BJ9" s="246">
        <v>1938457.8307608175</v>
      </c>
    </row>
    <row r="10" spans="1:62" x14ac:dyDescent="0.25">
      <c r="A10" s="245">
        <v>2014</v>
      </c>
      <c r="B10" s="245">
        <v>12</v>
      </c>
      <c r="C10" s="245"/>
      <c r="D10" s="250">
        <v>1143479.4656052915</v>
      </c>
      <c r="E10" s="249">
        <v>337.57492203900517</v>
      </c>
      <c r="F10" s="248"/>
      <c r="G10" s="252">
        <v>1143817.0405273305</v>
      </c>
      <c r="H10" s="243"/>
      <c r="I10" s="250">
        <v>28240.484162232187</v>
      </c>
      <c r="J10" s="249">
        <v>4739.315125134598</v>
      </c>
      <c r="K10" s="249">
        <v>20010.104943050548</v>
      </c>
      <c r="L10" s="249">
        <v>2055.6614290129455</v>
      </c>
      <c r="M10" s="249">
        <v>201396.1077379722</v>
      </c>
      <c r="N10" s="249">
        <v>217909.70723997563</v>
      </c>
      <c r="O10" s="249">
        <v>139319.20911969841</v>
      </c>
      <c r="P10" s="249">
        <v>391.38878949847663</v>
      </c>
      <c r="Q10" s="249">
        <v>98698.87344671617</v>
      </c>
      <c r="R10" s="249">
        <v>5.0932412145599866</v>
      </c>
      <c r="S10" s="249">
        <v>50665.771304463597</v>
      </c>
      <c r="T10" s="249">
        <v>16282.199428843142</v>
      </c>
      <c r="U10" s="249">
        <v>0.39515349687359363</v>
      </c>
      <c r="V10" s="249">
        <v>38471.01657521262</v>
      </c>
      <c r="W10" s="249">
        <v>177.723909458214</v>
      </c>
      <c r="X10" s="249">
        <v>172.8624084508823</v>
      </c>
      <c r="Y10" s="249">
        <v>171.48120465008731</v>
      </c>
      <c r="Z10" s="249">
        <v>5.6962270120892677</v>
      </c>
      <c r="AA10" s="248"/>
      <c r="AB10" s="252">
        <v>818713.09144609328</v>
      </c>
      <c r="AC10" s="243"/>
      <c r="AD10" s="250">
        <v>8457.9443611909373</v>
      </c>
      <c r="AE10" s="249">
        <v>15883.004927177242</v>
      </c>
      <c r="AF10" s="249">
        <v>19791.775204616944</v>
      </c>
      <c r="AG10" s="249">
        <v>36719.420140845643</v>
      </c>
      <c r="AH10" s="249">
        <v>4507.3330790064674</v>
      </c>
      <c r="AI10" s="249">
        <v>4091.5964508744059</v>
      </c>
      <c r="AJ10" s="249">
        <v>9043.400068954983</v>
      </c>
      <c r="AK10" s="248"/>
      <c r="AL10" s="252">
        <v>98494.474232666631</v>
      </c>
      <c r="AM10" s="243"/>
      <c r="AN10" s="250">
        <v>0.57099259179810791</v>
      </c>
      <c r="AO10" s="249">
        <v>1701.7809748746517</v>
      </c>
      <c r="AP10" s="249">
        <v>110.71904560148005</v>
      </c>
      <c r="AQ10" s="249">
        <v>26.53966454612052</v>
      </c>
      <c r="AR10" s="249">
        <v>1.036340974414977</v>
      </c>
      <c r="AS10" s="249">
        <v>1047.7550893184721</v>
      </c>
      <c r="AT10" s="249">
        <v>3942.6920494745436</v>
      </c>
      <c r="AU10" s="249">
        <v>881.73228961278494</v>
      </c>
      <c r="AV10" s="249">
        <v>365.41264771675668</v>
      </c>
      <c r="AW10" s="248"/>
      <c r="AX10" s="252">
        <v>8078.2390947110234</v>
      </c>
      <c r="AY10" s="243"/>
      <c r="AZ10" s="251">
        <v>845.42778134399543</v>
      </c>
      <c r="BA10" s="243"/>
      <c r="BB10" s="246">
        <v>2069948.2730821455</v>
      </c>
      <c r="BC10" s="243"/>
      <c r="BD10" s="250">
        <v>6409.3500994447959</v>
      </c>
      <c r="BE10" s="249">
        <v>145649.38250907857</v>
      </c>
      <c r="BF10" s="249">
        <v>22828.949448879408</v>
      </c>
      <c r="BG10" s="248"/>
      <c r="BH10" s="247">
        <v>174887.68205740277</v>
      </c>
      <c r="BI10" s="243"/>
      <c r="BJ10" s="246">
        <v>2244835.9551395481</v>
      </c>
    </row>
    <row r="11" spans="1:62" x14ac:dyDescent="0.25">
      <c r="A11" s="245">
        <v>2015</v>
      </c>
      <c r="B11" s="245">
        <v>1</v>
      </c>
      <c r="C11" s="245"/>
      <c r="D11" s="250">
        <v>1279589.3733346793</v>
      </c>
      <c r="E11" s="249">
        <v>336.33499414134968</v>
      </c>
      <c r="F11" s="248"/>
      <c r="G11" s="252">
        <v>1279925.7083288205</v>
      </c>
      <c r="H11" s="243"/>
      <c r="I11" s="250">
        <v>33720.756611001176</v>
      </c>
      <c r="J11" s="249">
        <v>3897.1984111829306</v>
      </c>
      <c r="K11" s="249">
        <v>19147.811133707812</v>
      </c>
      <c r="L11" s="249">
        <v>2311.0728124184052</v>
      </c>
      <c r="M11" s="249">
        <v>216861.05741983905</v>
      </c>
      <c r="N11" s="249">
        <v>241963.3350867097</v>
      </c>
      <c r="O11" s="249">
        <v>121469.34894283363</v>
      </c>
      <c r="P11" s="249">
        <v>384.69210703024663</v>
      </c>
      <c r="Q11" s="249">
        <v>74831.570323207401</v>
      </c>
      <c r="R11" s="249">
        <v>3.0837168341228041</v>
      </c>
      <c r="S11" s="249">
        <v>59983.099145133696</v>
      </c>
      <c r="T11" s="249">
        <v>17689.803341669416</v>
      </c>
      <c r="U11" s="249">
        <v>0.42261425439270095</v>
      </c>
      <c r="V11" s="249">
        <v>38291.916690644684</v>
      </c>
      <c r="W11" s="249">
        <v>184.8183120376606</v>
      </c>
      <c r="X11" s="249">
        <v>173.57181484865822</v>
      </c>
      <c r="Y11" s="249">
        <v>180.8383307687846</v>
      </c>
      <c r="Z11" s="249">
        <v>6.7861656621041346</v>
      </c>
      <c r="AA11" s="248"/>
      <c r="AB11" s="252">
        <v>831101.18297978374</v>
      </c>
      <c r="AC11" s="243"/>
      <c r="AD11" s="250">
        <v>8665.0392453567256</v>
      </c>
      <c r="AE11" s="249">
        <v>15638.63595045552</v>
      </c>
      <c r="AF11" s="249">
        <v>18570.960909619371</v>
      </c>
      <c r="AG11" s="249">
        <v>36691.415400623366</v>
      </c>
      <c r="AH11" s="249">
        <v>3882.5711260884705</v>
      </c>
      <c r="AI11" s="249">
        <v>3808.3546130106306</v>
      </c>
      <c r="AJ11" s="249">
        <v>9686.7526631114652</v>
      </c>
      <c r="AK11" s="248"/>
      <c r="AL11" s="252">
        <v>96943.729908265552</v>
      </c>
      <c r="AM11" s="243"/>
      <c r="AN11" s="250">
        <v>0.58304268111569912</v>
      </c>
      <c r="AO11" s="249">
        <v>1771.7557030047433</v>
      </c>
      <c r="AP11" s="249">
        <v>121.59720999553124</v>
      </c>
      <c r="AQ11" s="249">
        <v>27.099428375724344</v>
      </c>
      <c r="AR11" s="249">
        <v>1.058639585876552</v>
      </c>
      <c r="AS11" s="249">
        <v>1070.3340730723091</v>
      </c>
      <c r="AT11" s="249">
        <v>4028.0050086419465</v>
      </c>
      <c r="AU11" s="249">
        <v>898.89309092269787</v>
      </c>
      <c r="AV11" s="249">
        <v>363.8994981492512</v>
      </c>
      <c r="AW11" s="248"/>
      <c r="AX11" s="252">
        <v>8283.2256944291948</v>
      </c>
      <c r="AY11" s="243"/>
      <c r="AZ11" s="251">
        <v>996.9328540063309</v>
      </c>
      <c r="BA11" s="243"/>
      <c r="BB11" s="246">
        <v>2217250.7797653051</v>
      </c>
      <c r="BC11" s="243"/>
      <c r="BD11" s="250">
        <v>6391.2730689587479</v>
      </c>
      <c r="BE11" s="249">
        <v>145221.53130041977</v>
      </c>
      <c r="BF11" s="249">
        <v>23344.479146828267</v>
      </c>
      <c r="BG11" s="248"/>
      <c r="BH11" s="247">
        <v>174957.28351620678</v>
      </c>
      <c r="BI11" s="243"/>
      <c r="BJ11" s="246">
        <v>2392208.0632815119</v>
      </c>
    </row>
    <row r="12" spans="1:62" x14ac:dyDescent="0.25">
      <c r="A12" s="245">
        <v>2015</v>
      </c>
      <c r="B12" s="245">
        <v>2</v>
      </c>
      <c r="C12" s="245"/>
      <c r="D12" s="250">
        <v>1170796.5978506682</v>
      </c>
      <c r="E12" s="249">
        <v>378.59360191021398</v>
      </c>
      <c r="F12" s="248"/>
      <c r="G12" s="252">
        <v>1171175.1914525784</v>
      </c>
      <c r="H12" s="243"/>
      <c r="I12" s="250">
        <v>29910.997879296756</v>
      </c>
      <c r="J12" s="249">
        <v>3490.9300680867536</v>
      </c>
      <c r="K12" s="249">
        <v>17880.710482258521</v>
      </c>
      <c r="L12" s="249">
        <v>2166.2820866746174</v>
      </c>
      <c r="M12" s="249">
        <v>210743.53539293463</v>
      </c>
      <c r="N12" s="249">
        <v>228797.2572498722</v>
      </c>
      <c r="O12" s="249">
        <v>142319.62925408862</v>
      </c>
      <c r="P12" s="249">
        <v>383.56565786485794</v>
      </c>
      <c r="Q12" s="249">
        <v>74732.103608414778</v>
      </c>
      <c r="R12" s="249">
        <v>2.9840091208315247</v>
      </c>
      <c r="S12" s="249">
        <v>53540.50222143744</v>
      </c>
      <c r="T12" s="249">
        <v>17609.020417517258</v>
      </c>
      <c r="U12" s="249">
        <v>0.42146650485756393</v>
      </c>
      <c r="V12" s="249">
        <v>39989.180970807567</v>
      </c>
      <c r="W12" s="249">
        <v>187.96917446016849</v>
      </c>
      <c r="X12" s="249">
        <v>183.00172249446564</v>
      </c>
      <c r="Y12" s="249">
        <v>184.8735512841277</v>
      </c>
      <c r="Z12" s="249">
        <v>6.0590201689452616</v>
      </c>
      <c r="AA12" s="248"/>
      <c r="AB12" s="252">
        <v>822129.02423328743</v>
      </c>
      <c r="AC12" s="243"/>
      <c r="AD12" s="250">
        <v>8638.3016319600629</v>
      </c>
      <c r="AE12" s="249">
        <v>16301.981069413747</v>
      </c>
      <c r="AF12" s="249">
        <v>18769.618864689979</v>
      </c>
      <c r="AG12" s="249">
        <v>38418.960154388442</v>
      </c>
      <c r="AH12" s="249">
        <v>4251.6269336913701</v>
      </c>
      <c r="AI12" s="249">
        <v>4176.3316732943222</v>
      </c>
      <c r="AJ12" s="249">
        <v>9651.9085444159446</v>
      </c>
      <c r="AK12" s="248"/>
      <c r="AL12" s="252">
        <v>100208.72887185386</v>
      </c>
      <c r="AM12" s="243"/>
      <c r="AN12" s="250">
        <v>0.58644902144315425</v>
      </c>
      <c r="AO12" s="249">
        <v>1580.2797804408592</v>
      </c>
      <c r="AP12" s="249">
        <v>122.59243928713644</v>
      </c>
      <c r="AQ12" s="249">
        <v>27.256907064619167</v>
      </c>
      <c r="AR12" s="249">
        <v>1.0659455662219295</v>
      </c>
      <c r="AS12" s="249">
        <v>1069.0713418346447</v>
      </c>
      <c r="AT12" s="249">
        <v>4049.9994176747268</v>
      </c>
      <c r="AU12" s="249">
        <v>904.90040260342414</v>
      </c>
      <c r="AV12" s="249">
        <v>323.51908370458574</v>
      </c>
      <c r="AW12" s="248"/>
      <c r="AX12" s="252">
        <v>8079.2717671976616</v>
      </c>
      <c r="AY12" s="243"/>
      <c r="AZ12" s="251">
        <v>910.35644012181535</v>
      </c>
      <c r="BA12" s="243"/>
      <c r="BB12" s="246">
        <v>2102502.5727650393</v>
      </c>
      <c r="BC12" s="243"/>
      <c r="BD12" s="250">
        <v>6597.1580846544166</v>
      </c>
      <c r="BE12" s="249">
        <v>145464.42257674065</v>
      </c>
      <c r="BF12" s="249">
        <v>22957.061822108422</v>
      </c>
      <c r="BG12" s="248"/>
      <c r="BH12" s="247">
        <v>175018.6424835035</v>
      </c>
      <c r="BI12" s="243"/>
      <c r="BJ12" s="246">
        <v>2277521.2152485428</v>
      </c>
    </row>
    <row r="13" spans="1:62" x14ac:dyDescent="0.25">
      <c r="A13" s="245">
        <v>2015</v>
      </c>
      <c r="B13" s="245">
        <v>3</v>
      </c>
      <c r="C13" s="245"/>
      <c r="D13" s="250">
        <v>1071846.9873395036</v>
      </c>
      <c r="E13" s="249">
        <v>287.02433270179381</v>
      </c>
      <c r="F13" s="248"/>
      <c r="G13" s="252">
        <v>1072134.0116722053</v>
      </c>
      <c r="H13" s="243"/>
      <c r="I13" s="250">
        <v>27952.089325361107</v>
      </c>
      <c r="J13" s="249">
        <v>3626.7829542195509</v>
      </c>
      <c r="K13" s="249">
        <v>19141.840662389466</v>
      </c>
      <c r="L13" s="249">
        <v>2063.8093957835713</v>
      </c>
      <c r="M13" s="249">
        <v>204083.00742718947</v>
      </c>
      <c r="N13" s="249">
        <v>226959.33673183373</v>
      </c>
      <c r="O13" s="249">
        <v>141196.1138257602</v>
      </c>
      <c r="P13" s="249">
        <v>368.76087355638725</v>
      </c>
      <c r="Q13" s="249">
        <v>74648.469772355966</v>
      </c>
      <c r="R13" s="249">
        <v>2.9699482645550046</v>
      </c>
      <c r="S13" s="249">
        <v>52563.413850467281</v>
      </c>
      <c r="T13" s="249">
        <v>17038.73141653846</v>
      </c>
      <c r="U13" s="249">
        <v>0.44003408745500655</v>
      </c>
      <c r="V13" s="249">
        <v>36783.97398415795</v>
      </c>
      <c r="W13" s="249">
        <v>188.19154254418316</v>
      </c>
      <c r="X13" s="249">
        <v>176.96072159209388</v>
      </c>
      <c r="Y13" s="249">
        <v>185.09893750051629</v>
      </c>
      <c r="Z13" s="249">
        <v>6.7093806297561924</v>
      </c>
      <c r="AA13" s="248"/>
      <c r="AB13" s="252">
        <v>806986.70078423154</v>
      </c>
      <c r="AC13" s="243"/>
      <c r="AD13" s="250">
        <v>8298.0667201742908</v>
      </c>
      <c r="AE13" s="249">
        <v>16619.683841104648</v>
      </c>
      <c r="AF13" s="249">
        <v>21870.378976132317</v>
      </c>
      <c r="AG13" s="249">
        <v>38176.546403572887</v>
      </c>
      <c r="AH13" s="249">
        <v>4216.7871206338386</v>
      </c>
      <c r="AI13" s="249">
        <v>4005.0223834071676</v>
      </c>
      <c r="AJ13" s="249">
        <v>8930.9988002966074</v>
      </c>
      <c r="AK13" s="248"/>
      <c r="AL13" s="252">
        <v>102117.48424532176</v>
      </c>
      <c r="AM13" s="243"/>
      <c r="AN13" s="250">
        <v>0.5692448205954932</v>
      </c>
      <c r="AO13" s="249">
        <v>1391.6238983777589</v>
      </c>
      <c r="AP13" s="249">
        <v>106.14021576509791</v>
      </c>
      <c r="AQ13" s="249">
        <v>26.434642353929249</v>
      </c>
      <c r="AR13" s="249">
        <v>1.0357811061051254</v>
      </c>
      <c r="AS13" s="249">
        <v>1097.905856852926</v>
      </c>
      <c r="AT13" s="249">
        <v>3938.6546165821987</v>
      </c>
      <c r="AU13" s="249">
        <v>878.31797592270254</v>
      </c>
      <c r="AV13" s="249">
        <v>384.07096829298092</v>
      </c>
      <c r="AW13" s="248"/>
      <c r="AX13" s="252">
        <v>7824.7532000742949</v>
      </c>
      <c r="AY13" s="243"/>
      <c r="AZ13" s="251">
        <v>869.65414268271718</v>
      </c>
      <c r="BA13" s="243"/>
      <c r="BB13" s="246">
        <v>1989932.6040445156</v>
      </c>
      <c r="BC13" s="243"/>
      <c r="BD13" s="250">
        <v>6504.0387762393857</v>
      </c>
      <c r="BE13" s="249">
        <v>146569.38879349039</v>
      </c>
      <c r="BF13" s="249">
        <v>22449.422315330936</v>
      </c>
      <c r="BG13" s="248"/>
      <c r="BH13" s="247">
        <v>175522.84988506071</v>
      </c>
      <c r="BI13" s="243"/>
      <c r="BJ13" s="246">
        <v>2165455.4539295766</v>
      </c>
    </row>
    <row r="14" spans="1:62" x14ac:dyDescent="0.25">
      <c r="A14" s="245">
        <v>2015</v>
      </c>
      <c r="B14" s="245">
        <v>4</v>
      </c>
      <c r="C14" s="245"/>
      <c r="D14" s="250">
        <v>926970.11352613021</v>
      </c>
      <c r="E14" s="249">
        <v>186.44643119073547</v>
      </c>
      <c r="F14" s="248"/>
      <c r="G14" s="252">
        <v>927156.55995732092</v>
      </c>
      <c r="H14" s="243"/>
      <c r="I14" s="250">
        <v>24599.482187139602</v>
      </c>
      <c r="J14" s="249">
        <v>3247.1566380810409</v>
      </c>
      <c r="K14" s="249">
        <v>15361.985492364167</v>
      </c>
      <c r="L14" s="249">
        <v>1872.585375674043</v>
      </c>
      <c r="M14" s="249">
        <v>184400.50844379349</v>
      </c>
      <c r="N14" s="249">
        <v>211021.76008299013</v>
      </c>
      <c r="O14" s="249">
        <v>138493.5313722165</v>
      </c>
      <c r="P14" s="249">
        <v>389.93818176941858</v>
      </c>
      <c r="Q14" s="249">
        <v>60480.524334590802</v>
      </c>
      <c r="R14" s="249">
        <v>3.01293312871476</v>
      </c>
      <c r="S14" s="249">
        <v>50593.232325488287</v>
      </c>
      <c r="T14" s="249">
        <v>12876.834214326567</v>
      </c>
      <c r="U14" s="249">
        <v>1.3704370715548262</v>
      </c>
      <c r="V14" s="249">
        <v>38468.090126248673</v>
      </c>
      <c r="W14" s="249">
        <v>184.04768034795353</v>
      </c>
      <c r="X14" s="249">
        <v>179.87987376405414</v>
      </c>
      <c r="Y14" s="249">
        <v>181.40925455907978</v>
      </c>
      <c r="Z14" s="249">
        <v>5.9039638724386201</v>
      </c>
      <c r="AA14" s="248"/>
      <c r="AB14" s="252">
        <v>742361.25291742641</v>
      </c>
      <c r="AC14" s="243"/>
      <c r="AD14" s="250">
        <v>7880.5024069023157</v>
      </c>
      <c r="AE14" s="249">
        <v>16816.685052567373</v>
      </c>
      <c r="AF14" s="249">
        <v>23502.864565508411</v>
      </c>
      <c r="AG14" s="249">
        <v>33978.985881417975</v>
      </c>
      <c r="AH14" s="249">
        <v>609.40783245871557</v>
      </c>
      <c r="AI14" s="249">
        <v>4083.7363561394673</v>
      </c>
      <c r="AJ14" s="249">
        <v>9734.6486953862368</v>
      </c>
      <c r="AK14" s="248"/>
      <c r="AL14" s="252">
        <v>96606.830790380496</v>
      </c>
      <c r="AM14" s="243"/>
      <c r="AN14" s="250">
        <v>0.70900485305523864</v>
      </c>
      <c r="AO14" s="249">
        <v>1427.9346491488811</v>
      </c>
      <c r="AP14" s="249">
        <v>111.43723106715996</v>
      </c>
      <c r="AQ14" s="249">
        <v>9.7575109845739831</v>
      </c>
      <c r="AR14" s="249">
        <v>1.3084408936092162</v>
      </c>
      <c r="AS14" s="249">
        <v>1284.4692102607141</v>
      </c>
      <c r="AT14" s="249">
        <v>3844.6179936432654</v>
      </c>
      <c r="AU14" s="249">
        <v>505.30038671529047</v>
      </c>
      <c r="AV14" s="249">
        <v>281.18902109417928</v>
      </c>
      <c r="AW14" s="248"/>
      <c r="AX14" s="252">
        <v>7466.7234486607285</v>
      </c>
      <c r="AY14" s="243"/>
      <c r="AZ14" s="251">
        <v>722.99900720480787</v>
      </c>
      <c r="BA14" s="243"/>
      <c r="BB14" s="246">
        <v>1774314.3661209934</v>
      </c>
      <c r="BC14" s="243"/>
      <c r="BD14" s="250">
        <v>7415.121296497774</v>
      </c>
      <c r="BE14" s="249">
        <v>145770.46764462444</v>
      </c>
      <c r="BF14" s="249">
        <v>22389.211450097147</v>
      </c>
      <c r="BG14" s="248"/>
      <c r="BH14" s="247">
        <v>175574.80039121935</v>
      </c>
      <c r="BI14" s="243"/>
      <c r="BJ14" s="246">
        <v>1949889.1665122127</v>
      </c>
    </row>
    <row r="15" spans="1:62" x14ac:dyDescent="0.25">
      <c r="A15" s="245">
        <v>2015</v>
      </c>
      <c r="B15" s="245">
        <v>5</v>
      </c>
      <c r="C15" s="245"/>
      <c r="D15" s="250">
        <v>808335.72364522971</v>
      </c>
      <c r="E15" s="249">
        <v>175.23055836092192</v>
      </c>
      <c r="F15" s="248"/>
      <c r="G15" s="252">
        <v>808510.95420359063</v>
      </c>
      <c r="H15" s="243"/>
      <c r="I15" s="250">
        <v>22106.071230108137</v>
      </c>
      <c r="J15" s="249">
        <v>2738.2303334190269</v>
      </c>
      <c r="K15" s="249">
        <v>14301.241740010069</v>
      </c>
      <c r="L15" s="249">
        <v>1662.1533005578399</v>
      </c>
      <c r="M15" s="249">
        <v>178126.20464680638</v>
      </c>
      <c r="N15" s="249">
        <v>215067.62773091524</v>
      </c>
      <c r="O15" s="249">
        <v>131173.22983427547</v>
      </c>
      <c r="P15" s="249">
        <v>811.68847122028694</v>
      </c>
      <c r="Q15" s="249">
        <v>63017.809570419304</v>
      </c>
      <c r="R15" s="249">
        <v>316.5808681451374</v>
      </c>
      <c r="S15" s="249">
        <v>58665.049709172323</v>
      </c>
      <c r="T15" s="249">
        <v>12485.314771738096</v>
      </c>
      <c r="U15" s="249">
        <v>1.8471712923664363</v>
      </c>
      <c r="V15" s="249">
        <v>36698.352455539258</v>
      </c>
      <c r="W15" s="249">
        <v>193.92514822399298</v>
      </c>
      <c r="X15" s="249">
        <v>183.76989645502999</v>
      </c>
      <c r="Y15" s="249">
        <v>194.37252325824116</v>
      </c>
      <c r="Z15" s="249">
        <v>7.3094732972546588</v>
      </c>
      <c r="AA15" s="248"/>
      <c r="AB15" s="252">
        <v>737750.77887485339</v>
      </c>
      <c r="AC15" s="243"/>
      <c r="AD15" s="250">
        <v>7759.8986125860411</v>
      </c>
      <c r="AE15" s="249">
        <v>17554.844457846644</v>
      </c>
      <c r="AF15" s="249">
        <v>17749.589506569828</v>
      </c>
      <c r="AG15" s="249">
        <v>35174.5933114851</v>
      </c>
      <c r="AH15" s="249">
        <v>5216.185936118447</v>
      </c>
      <c r="AI15" s="249">
        <v>3747.0870209740956</v>
      </c>
      <c r="AJ15" s="249">
        <v>10018.789728585158</v>
      </c>
      <c r="AK15" s="248"/>
      <c r="AL15" s="252">
        <v>97220.988574165298</v>
      </c>
      <c r="AM15" s="243"/>
      <c r="AN15" s="250">
        <v>0.57629031863556957</v>
      </c>
      <c r="AO15" s="249">
        <v>1129.548157501624</v>
      </c>
      <c r="AP15" s="249">
        <v>70.553228234026221</v>
      </c>
      <c r="AQ15" s="249">
        <v>25.613425945871249</v>
      </c>
      <c r="AR15" s="249">
        <v>1.1018058022159627</v>
      </c>
      <c r="AS15" s="249">
        <v>1365.2649745042174</v>
      </c>
      <c r="AT15" s="249">
        <v>3680.7552630777623</v>
      </c>
      <c r="AU15" s="249">
        <v>711.44777682067684</v>
      </c>
      <c r="AV15" s="249">
        <v>334.75865502531923</v>
      </c>
      <c r="AW15" s="248"/>
      <c r="AX15" s="252">
        <v>7319.619577230349</v>
      </c>
      <c r="AY15" s="243"/>
      <c r="AZ15" s="251">
        <v>563.2441884966338</v>
      </c>
      <c r="BA15" s="243"/>
      <c r="BB15" s="246">
        <v>1651365.5854183363</v>
      </c>
      <c r="BC15" s="243"/>
      <c r="BD15" s="250">
        <v>6901.9410033177619</v>
      </c>
      <c r="BE15" s="249">
        <v>146940.69874080631</v>
      </c>
      <c r="BF15" s="249">
        <v>21782.644396321837</v>
      </c>
      <c r="BG15" s="248"/>
      <c r="BH15" s="247">
        <v>175625.28414044593</v>
      </c>
      <c r="BI15" s="243"/>
      <c r="BJ15" s="246">
        <v>1826990.8695587823</v>
      </c>
    </row>
    <row r="16" spans="1:62" x14ac:dyDescent="0.25">
      <c r="A16" s="245">
        <v>2015</v>
      </c>
      <c r="B16" s="245">
        <v>6</v>
      </c>
      <c r="C16" s="245"/>
      <c r="D16" s="250">
        <v>714419.40798693709</v>
      </c>
      <c r="E16" s="249">
        <v>163.71027370245281</v>
      </c>
      <c r="F16" s="248"/>
      <c r="G16" s="252">
        <v>714583.11826063949</v>
      </c>
      <c r="H16" s="243"/>
      <c r="I16" s="250">
        <v>22689.03512045442</v>
      </c>
      <c r="J16" s="249">
        <v>3532.4769694145375</v>
      </c>
      <c r="K16" s="249">
        <v>14379.504807480627</v>
      </c>
      <c r="L16" s="249">
        <v>1727.0699675405103</v>
      </c>
      <c r="M16" s="249">
        <v>180326.95796109291</v>
      </c>
      <c r="N16" s="249">
        <v>223777.77773303457</v>
      </c>
      <c r="O16" s="249">
        <v>143379.26898524413</v>
      </c>
      <c r="P16" s="249">
        <v>1332.4718824799652</v>
      </c>
      <c r="Q16" s="249">
        <v>64203.158176602141</v>
      </c>
      <c r="R16" s="249">
        <v>796.21534274445025</v>
      </c>
      <c r="S16" s="249">
        <v>45152.20566978545</v>
      </c>
      <c r="T16" s="249">
        <v>10149.771380388238</v>
      </c>
      <c r="U16" s="249">
        <v>2.1293067401320855</v>
      </c>
      <c r="V16" s="249">
        <v>37376.311528715611</v>
      </c>
      <c r="W16" s="249">
        <v>184.34033461943079</v>
      </c>
      <c r="X16" s="249">
        <v>181.40813801123059</v>
      </c>
      <c r="Y16" s="249">
        <v>171.87406107292301</v>
      </c>
      <c r="Z16" s="249">
        <v>5.6904357770542058</v>
      </c>
      <c r="AA16" s="248"/>
      <c r="AB16" s="252">
        <v>749367.66780119843</v>
      </c>
      <c r="AC16" s="243"/>
      <c r="AD16" s="250">
        <v>6675.2881493089144</v>
      </c>
      <c r="AE16" s="249">
        <v>16383.925685912478</v>
      </c>
      <c r="AF16" s="249">
        <v>18032.834644926865</v>
      </c>
      <c r="AG16" s="249">
        <v>38977.518953360595</v>
      </c>
      <c r="AH16" s="249">
        <v>7370.7458545891504</v>
      </c>
      <c r="AI16" s="249">
        <v>3854.9881876708614</v>
      </c>
      <c r="AJ16" s="249">
        <v>7316.1075170987624</v>
      </c>
      <c r="AK16" s="248"/>
      <c r="AL16" s="252">
        <v>98611.408992867626</v>
      </c>
      <c r="AM16" s="243"/>
      <c r="AN16" s="250">
        <v>0.86850485765871344</v>
      </c>
      <c r="AO16" s="249">
        <v>1462.0794543247048</v>
      </c>
      <c r="AP16" s="249">
        <v>94.572497488263465</v>
      </c>
      <c r="AQ16" s="249">
        <v>38.319285779103133</v>
      </c>
      <c r="AR16" s="249">
        <v>1.7022153041790609</v>
      </c>
      <c r="AS16" s="249">
        <v>935.87126043687374</v>
      </c>
      <c r="AT16" s="249">
        <v>3275.6207785403772</v>
      </c>
      <c r="AU16" s="249">
        <v>834.01215585337138</v>
      </c>
      <c r="AV16" s="249">
        <v>491.81311466394641</v>
      </c>
      <c r="AW16" s="248"/>
      <c r="AX16" s="252">
        <v>7134.8592672484774</v>
      </c>
      <c r="AY16" s="243"/>
      <c r="AZ16" s="251">
        <v>436.84074100848954</v>
      </c>
      <c r="BA16" s="243"/>
      <c r="BB16" s="246">
        <v>1570133.8950629625</v>
      </c>
      <c r="BC16" s="243"/>
      <c r="BD16" s="250">
        <v>7037.8863724012781</v>
      </c>
      <c r="BE16" s="249">
        <v>146753.81056401238</v>
      </c>
      <c r="BF16" s="249">
        <v>21883.558815777644</v>
      </c>
      <c r="BG16" s="248"/>
      <c r="BH16" s="247">
        <v>175675.25575219133</v>
      </c>
      <c r="BI16" s="243"/>
      <c r="BJ16" s="246">
        <v>1745809.150815154</v>
      </c>
    </row>
    <row r="17" spans="1:62" x14ac:dyDescent="0.25">
      <c r="A17" s="245">
        <v>2015</v>
      </c>
      <c r="B17" s="245">
        <v>7</v>
      </c>
      <c r="C17" s="245"/>
      <c r="D17" s="250">
        <v>669538.44529353664</v>
      </c>
      <c r="E17" s="249">
        <v>284.85735406037855</v>
      </c>
      <c r="F17" s="248"/>
      <c r="G17" s="252">
        <v>669823.30264759704</v>
      </c>
      <c r="H17" s="243"/>
      <c r="I17" s="250">
        <v>20628.646100565355</v>
      </c>
      <c r="J17" s="249">
        <v>2872.3837836787634</v>
      </c>
      <c r="K17" s="249">
        <v>13650.513080547416</v>
      </c>
      <c r="L17" s="249">
        <v>1639.1008982663143</v>
      </c>
      <c r="M17" s="249">
        <v>179195.0970824449</v>
      </c>
      <c r="N17" s="249">
        <v>203225.73452530222</v>
      </c>
      <c r="O17" s="249">
        <v>143309.61056706801</v>
      </c>
      <c r="P17" s="249">
        <v>1724.4245035225765</v>
      </c>
      <c r="Q17" s="249">
        <v>70319.967693116516</v>
      </c>
      <c r="R17" s="249">
        <v>634.45931127526194</v>
      </c>
      <c r="S17" s="249">
        <v>63950.887031255283</v>
      </c>
      <c r="T17" s="249">
        <v>6936.4297550169094</v>
      </c>
      <c r="U17" s="249">
        <v>1.2337390752274149</v>
      </c>
      <c r="V17" s="249">
        <v>42572.970927024129</v>
      </c>
      <c r="W17" s="249">
        <v>181.36784017881811</v>
      </c>
      <c r="X17" s="249">
        <v>171.30275738837452</v>
      </c>
      <c r="Y17" s="249">
        <v>182.82718122231702</v>
      </c>
      <c r="Z17" s="249">
        <v>6.6535838505615068</v>
      </c>
      <c r="AA17" s="248"/>
      <c r="AB17" s="252">
        <v>751203.61036079889</v>
      </c>
      <c r="AC17" s="243"/>
      <c r="AD17" s="250">
        <v>6810.8325863222926</v>
      </c>
      <c r="AE17" s="249">
        <v>12984.578263662423</v>
      </c>
      <c r="AF17" s="249">
        <v>24340.577081752243</v>
      </c>
      <c r="AG17" s="249">
        <v>35965.993003469652</v>
      </c>
      <c r="AH17" s="249">
        <v>3869.2681897589614</v>
      </c>
      <c r="AI17" s="249">
        <v>4311.2421309466235</v>
      </c>
      <c r="AJ17" s="249">
        <v>11724.038135920329</v>
      </c>
      <c r="AK17" s="248"/>
      <c r="AL17" s="252">
        <v>100006.52939183253</v>
      </c>
      <c r="AM17" s="243"/>
      <c r="AN17" s="250">
        <v>0.43836261924103526</v>
      </c>
      <c r="AO17" s="249">
        <v>755.09985248983696</v>
      </c>
      <c r="AP17" s="249">
        <v>59.218400981416025</v>
      </c>
      <c r="AQ17" s="249">
        <v>20.478247127939017</v>
      </c>
      <c r="AR17" s="249">
        <v>1.1194275818435884</v>
      </c>
      <c r="AS17" s="249">
        <v>819.92907465889175</v>
      </c>
      <c r="AT17" s="249">
        <v>4032.5084461561423</v>
      </c>
      <c r="AU17" s="249">
        <v>937.65493797734939</v>
      </c>
      <c r="AV17" s="249">
        <v>393.46715236095019</v>
      </c>
      <c r="AW17" s="248"/>
      <c r="AX17" s="252">
        <v>7019.9139019536105</v>
      </c>
      <c r="AY17" s="243"/>
      <c r="AZ17" s="251">
        <v>354.5218401105405</v>
      </c>
      <c r="BA17" s="243"/>
      <c r="BB17" s="246">
        <v>1528407.8781422926</v>
      </c>
      <c r="BC17" s="243"/>
      <c r="BD17" s="250">
        <v>6283.0908754642205</v>
      </c>
      <c r="BE17" s="249">
        <v>149676.66297806817</v>
      </c>
      <c r="BF17" s="249">
        <v>19764.247349134912</v>
      </c>
      <c r="BG17" s="248"/>
      <c r="BH17" s="247">
        <v>175724.00120266731</v>
      </c>
      <c r="BI17" s="243"/>
      <c r="BJ17" s="246">
        <v>1704131.87934496</v>
      </c>
    </row>
    <row r="18" spans="1:62" x14ac:dyDescent="0.25">
      <c r="A18" s="245">
        <v>2015</v>
      </c>
      <c r="B18" s="245">
        <v>8</v>
      </c>
      <c r="C18" s="245"/>
      <c r="D18" s="250">
        <v>671771.683506603</v>
      </c>
      <c r="E18" s="249">
        <v>279.10920958811874</v>
      </c>
      <c r="F18" s="248"/>
      <c r="G18" s="252">
        <v>672050.79271619115</v>
      </c>
      <c r="H18" s="243"/>
      <c r="I18" s="250">
        <v>21482.431817993733</v>
      </c>
      <c r="J18" s="249">
        <v>2697.3262248911819</v>
      </c>
      <c r="K18" s="249">
        <v>13812.126950999065</v>
      </c>
      <c r="L18" s="249">
        <v>2024.6097656985069</v>
      </c>
      <c r="M18" s="249">
        <v>184982.94413927372</v>
      </c>
      <c r="N18" s="249">
        <v>218801.33294074578</v>
      </c>
      <c r="O18" s="249">
        <v>147674.68838623705</v>
      </c>
      <c r="P18" s="249">
        <v>3852.3798876559631</v>
      </c>
      <c r="Q18" s="249">
        <v>70087.403233882636</v>
      </c>
      <c r="R18" s="249">
        <v>979.86850599239938</v>
      </c>
      <c r="S18" s="249">
        <v>64218.754573229598</v>
      </c>
      <c r="T18" s="249">
        <v>5399.6852037677299</v>
      </c>
      <c r="U18" s="249">
        <v>0</v>
      </c>
      <c r="V18" s="249">
        <v>38334.090298316776</v>
      </c>
      <c r="W18" s="249">
        <v>185.95972044745963</v>
      </c>
      <c r="X18" s="249">
        <v>180.36219168437935</v>
      </c>
      <c r="Y18" s="249">
        <v>177.19764865101286</v>
      </c>
      <c r="Z18" s="249">
        <v>5.8130428542721848</v>
      </c>
      <c r="AA18" s="248"/>
      <c r="AB18" s="252">
        <v>774896.97453232121</v>
      </c>
      <c r="AC18" s="243"/>
      <c r="AD18" s="250">
        <v>7053.506259391319</v>
      </c>
      <c r="AE18" s="249">
        <v>16095.047927483694</v>
      </c>
      <c r="AF18" s="249">
        <v>21802.711084767077</v>
      </c>
      <c r="AG18" s="249">
        <v>37813.902627273448</v>
      </c>
      <c r="AH18" s="249">
        <v>4901.5999697079087</v>
      </c>
      <c r="AI18" s="249">
        <v>5262.4433303702408</v>
      </c>
      <c r="AJ18" s="249">
        <v>9057.964787999761</v>
      </c>
      <c r="AK18" s="248"/>
      <c r="AL18" s="252">
        <v>101987.17598699345</v>
      </c>
      <c r="AM18" s="243"/>
      <c r="AN18" s="250">
        <v>0.54573610463597799</v>
      </c>
      <c r="AO18" s="249">
        <v>998.65395285399075</v>
      </c>
      <c r="AP18" s="249">
        <v>78.615716271446431</v>
      </c>
      <c r="AQ18" s="249">
        <v>25.437045128829716</v>
      </c>
      <c r="AR18" s="249">
        <v>0.97076734593621461</v>
      </c>
      <c r="AS18" s="249">
        <v>985.18816679385748</v>
      </c>
      <c r="AT18" s="249">
        <v>3779.9074938309386</v>
      </c>
      <c r="AU18" s="249">
        <v>844.25301186754814</v>
      </c>
      <c r="AV18" s="249">
        <v>323.74760034522126</v>
      </c>
      <c r="AW18" s="248"/>
      <c r="AX18" s="252">
        <v>7037.3194905424043</v>
      </c>
      <c r="AY18" s="243"/>
      <c r="AZ18" s="251">
        <v>310.98096758502692</v>
      </c>
      <c r="BA18" s="243"/>
      <c r="BB18" s="246">
        <v>1556283.2436936332</v>
      </c>
      <c r="BC18" s="243"/>
      <c r="BD18" s="250">
        <v>6330.6979030845714</v>
      </c>
      <c r="BE18" s="249">
        <v>149021.72289056558</v>
      </c>
      <c r="BF18" s="249">
        <v>20399.775401049323</v>
      </c>
      <c r="BG18" s="248"/>
      <c r="BH18" s="247">
        <v>175752.19619469947</v>
      </c>
      <c r="BI18" s="243"/>
      <c r="BJ18" s="246">
        <v>1732035.4398883327</v>
      </c>
    </row>
    <row r="19" spans="1:62" x14ac:dyDescent="0.25">
      <c r="A19" s="245">
        <v>2015</v>
      </c>
      <c r="B19" s="245">
        <v>9</v>
      </c>
      <c r="C19" s="245"/>
      <c r="D19" s="250">
        <v>681529.0776409423</v>
      </c>
      <c r="E19" s="249">
        <v>254.74890855929905</v>
      </c>
      <c r="F19" s="248"/>
      <c r="G19" s="252">
        <v>681783.82654950162</v>
      </c>
      <c r="H19" s="243"/>
      <c r="I19" s="250">
        <v>21644.421050671419</v>
      </c>
      <c r="J19" s="249">
        <v>2712.7688963065971</v>
      </c>
      <c r="K19" s="249">
        <v>13974.221898428774</v>
      </c>
      <c r="L19" s="249">
        <v>2008.9789185516925</v>
      </c>
      <c r="M19" s="249">
        <v>182731.89805776588</v>
      </c>
      <c r="N19" s="249">
        <v>221709.33291389534</v>
      </c>
      <c r="O19" s="249">
        <v>150652.34527964474</v>
      </c>
      <c r="P19" s="249">
        <v>3388.4280713847406</v>
      </c>
      <c r="Q19" s="249">
        <v>71058.317984340072</v>
      </c>
      <c r="R19" s="249">
        <v>937.13158389752482</v>
      </c>
      <c r="S19" s="249">
        <v>53435.279047472592</v>
      </c>
      <c r="T19" s="249">
        <v>7216.3144695255996</v>
      </c>
      <c r="U19" s="249">
        <v>0</v>
      </c>
      <c r="V19" s="249">
        <v>41265.671027470031</v>
      </c>
      <c r="W19" s="249">
        <v>182.00354241869249</v>
      </c>
      <c r="X19" s="249">
        <v>170.83171522372754</v>
      </c>
      <c r="Y19" s="249">
        <v>175.55040636504097</v>
      </c>
      <c r="Z19" s="249">
        <v>6.6030770424413454</v>
      </c>
      <c r="AA19" s="248"/>
      <c r="AB19" s="252">
        <v>773270.09794040513</v>
      </c>
      <c r="AC19" s="243"/>
      <c r="AD19" s="250">
        <v>6986.1247607065807</v>
      </c>
      <c r="AE19" s="249">
        <v>15362.426004025674</v>
      </c>
      <c r="AF19" s="249">
        <v>20824.059522170443</v>
      </c>
      <c r="AG19" s="249">
        <v>36661.086720684987</v>
      </c>
      <c r="AH19" s="249">
        <v>4894.4253730001701</v>
      </c>
      <c r="AI19" s="249">
        <v>4657.7956782170186</v>
      </c>
      <c r="AJ19" s="249">
        <v>9083.7003647884612</v>
      </c>
      <c r="AK19" s="248"/>
      <c r="AL19" s="252">
        <v>98469.618423593318</v>
      </c>
      <c r="AM19" s="243"/>
      <c r="AN19" s="250">
        <v>0.55262131282235927</v>
      </c>
      <c r="AO19" s="249">
        <v>1138.8761515631497</v>
      </c>
      <c r="AP19" s="249">
        <v>81.738339983900971</v>
      </c>
      <c r="AQ19" s="249">
        <v>25.75816828404799</v>
      </c>
      <c r="AR19" s="249">
        <v>0.98254048426778418</v>
      </c>
      <c r="AS19" s="249">
        <v>999.24233742331944</v>
      </c>
      <c r="AT19" s="249">
        <v>3831.0155907754697</v>
      </c>
      <c r="AU19" s="249">
        <v>854.91913304561274</v>
      </c>
      <c r="AV19" s="249">
        <v>362.37200264854562</v>
      </c>
      <c r="AW19" s="248"/>
      <c r="AX19" s="252">
        <v>7295.4568855211355</v>
      </c>
      <c r="AY19" s="243"/>
      <c r="AZ19" s="251">
        <v>308.70356211129308</v>
      </c>
      <c r="BA19" s="243"/>
      <c r="BB19" s="246">
        <v>1561127.7033611326</v>
      </c>
      <c r="BC19" s="243"/>
      <c r="BD19" s="250">
        <v>6263.8686312337977</v>
      </c>
      <c r="BE19" s="249">
        <v>148998.54516475074</v>
      </c>
      <c r="BF19" s="249">
        <v>20509.74909733305</v>
      </c>
      <c r="BG19" s="248"/>
      <c r="BH19" s="247">
        <v>175772.16289331761</v>
      </c>
      <c r="BI19" s="243"/>
      <c r="BJ19" s="246">
        <v>1736899.8662544503</v>
      </c>
    </row>
    <row r="21" spans="1:62" x14ac:dyDescent="0.25">
      <c r="D21" s="275">
        <f>SUM(D8:D20)</f>
        <v>10752933.292046539</v>
      </c>
      <c r="E21" s="275">
        <f t="shared" ref="E21:G21" si="0">SUM(E8:E20)</f>
        <v>3180.231820121387</v>
      </c>
      <c r="F21" s="275"/>
      <c r="G21" s="275">
        <f t="shared" si="0"/>
        <v>10756113.523866659</v>
      </c>
      <c r="I21" s="275">
        <f t="shared" ref="I21" si="1">SUM(I8:I20)</f>
        <v>297406.21058195457</v>
      </c>
      <c r="J21" s="275">
        <f t="shared" ref="J21" si="2">SUM(J8:J20)</f>
        <v>43345.943224116665</v>
      </c>
      <c r="K21" s="275">
        <f t="shared" ref="K21" si="3">SUM(K8:K20)</f>
        <v>191025.49978233545</v>
      </c>
      <c r="L21" s="275">
        <f t="shared" ref="L21" si="4">SUM(L8:L20)</f>
        <v>24487.370616506534</v>
      </c>
      <c r="M21" s="275">
        <f t="shared" ref="M21" si="5">SUM(M8:M20)</f>
        <v>2272240.0355233401</v>
      </c>
      <c r="N21" s="275">
        <f t="shared" ref="N21" si="6">SUM(N8:N20)</f>
        <v>2623956.5731689786</v>
      </c>
      <c r="O21" s="275">
        <f t="shared" ref="O21" si="7">SUM(O8:O20)</f>
        <v>1677515.7515824335</v>
      </c>
      <c r="P21" s="275">
        <f t="shared" ref="P21" si="8">SUM(P8:P20)</f>
        <v>15055.222194819493</v>
      </c>
      <c r="Q21" s="275">
        <f t="shared" ref="Q21" si="9">SUM(Q8:Q20)</f>
        <v>868643.49963749433</v>
      </c>
      <c r="R21" s="275">
        <f t="shared" ref="R21" si="10">SUM(R8:R20)</f>
        <v>4598.0208390573034</v>
      </c>
      <c r="S21" s="275">
        <f t="shared" ref="S21" si="11">SUM(S8:S20)</f>
        <v>657587.54657724488</v>
      </c>
      <c r="T21" s="275">
        <f t="shared" ref="T21" si="12">SUM(T8:T20)</f>
        <v>145899.88538310878</v>
      </c>
      <c r="U21" s="275">
        <f t="shared" ref="U21" si="13">SUM(U8:U20)</f>
        <v>9.0497876808960225</v>
      </c>
      <c r="V21" s="275">
        <f t="shared" ref="V21" si="14">SUM(V8:V20)</f>
        <v>462369.98851400311</v>
      </c>
      <c r="W21" s="275">
        <f t="shared" ref="W21" si="15">SUM(W8:W20)</f>
        <v>2210.2958875847198</v>
      </c>
      <c r="X21" s="275">
        <f t="shared" ref="X21" si="16">SUM(X8:X20)</f>
        <v>2118.739960899411</v>
      </c>
      <c r="Y21" s="275">
        <f t="shared" ref="Y21" si="17">SUM(Y8:Y20)</f>
        <v>2151.332385096111</v>
      </c>
      <c r="Z21" s="275">
        <f t="shared" ref="Z21:AB21" si="18">SUM(Z8:Z20)</f>
        <v>75.411259859677145</v>
      </c>
      <c r="AB21" s="275">
        <f t="shared" si="18"/>
        <v>9290696.3769065142</v>
      </c>
      <c r="AD21" s="275">
        <f t="shared" ref="AD21" si="19">SUM(AD8:AD20)</f>
        <v>91972.378128207449</v>
      </c>
      <c r="AE21" s="275">
        <f t="shared" ref="AE21" si="20">SUM(AE8:AE20)</f>
        <v>190661.03334763829</v>
      </c>
      <c r="AF21" s="275">
        <f t="shared" ref="AF21" si="21">SUM(AF8:AF20)</f>
        <v>247888.78907520446</v>
      </c>
      <c r="AG21" s="275">
        <f t="shared" ref="AG21" si="22">SUM(AG8:AG20)</f>
        <v>442862.73479309987</v>
      </c>
      <c r="AH21" s="275">
        <f t="shared" ref="AH21" si="23">SUM(AH8:AH20)</f>
        <v>52291.936997046447</v>
      </c>
      <c r="AI21" s="275">
        <f t="shared" ref="AI21" si="24">SUM(AI8:AI20)</f>
        <v>51589.475642937818</v>
      </c>
      <c r="AJ21" s="275">
        <f t="shared" ref="AJ21:AL21" si="25">SUM(AJ8:AJ20)</f>
        <v>112223.58480289787</v>
      </c>
      <c r="AL21" s="275">
        <f t="shared" si="25"/>
        <v>1189489.9327870321</v>
      </c>
      <c r="AN21" s="275">
        <f t="shared" ref="AN21" si="26">SUM(AN8:AN20)</f>
        <v>7.087013490477438</v>
      </c>
      <c r="AO21" s="275">
        <f t="shared" ref="AO21" si="27">SUM(AO8:AO20)</f>
        <v>16154.388077118767</v>
      </c>
      <c r="AP21" s="275">
        <f t="shared" ref="AP21" si="28">SUM(AP8:AP20)</f>
        <v>1119.5186302270818</v>
      </c>
      <c r="AQ21" s="275">
        <f t="shared" ref="AQ21" si="29">SUM(AQ8:AQ20)</f>
        <v>303.27788184111409</v>
      </c>
      <c r="AR21" s="275">
        <f t="shared" ref="AR21" si="30">SUM(AR8:AR20)</f>
        <v>13.335884750630267</v>
      </c>
      <c r="AS21" s="275">
        <f t="shared" ref="AS21" si="31">SUM(AS8:AS20)</f>
        <v>12673.33893368924</v>
      </c>
      <c r="AT21" s="275">
        <f t="shared" ref="AT21" si="32">SUM(AT8:AT20)</f>
        <v>45901.373481346658</v>
      </c>
      <c r="AU21" s="275">
        <f t="shared" ref="AU21" si="33">SUM(AU8:AU20)</f>
        <v>9929.6710345946849</v>
      </c>
      <c r="AV21" s="275">
        <f t="shared" ref="AV21:BB21" si="34">SUM(AV8:AV20)</f>
        <v>4345.3083924403136</v>
      </c>
      <c r="AX21" s="275">
        <f t="shared" si="34"/>
        <v>90447.299329498957</v>
      </c>
      <c r="AZ21" s="275">
        <f t="shared" si="34"/>
        <v>7246.0809725508816</v>
      </c>
      <c r="BB21" s="275">
        <f t="shared" si="34"/>
        <v>21333993.213862259</v>
      </c>
      <c r="BD21" s="275">
        <f t="shared" ref="BD21" si="35">SUM(BD8:BD20)</f>
        <v>78853.573355124739</v>
      </c>
      <c r="BE21" s="275">
        <f t="shared" ref="BE21" si="36">SUM(BE8:BE20)</f>
        <v>1767547.6035086885</v>
      </c>
      <c r="BF21" s="275">
        <f t="shared" ref="BF21:BJ21" si="37">SUM(BF8:BF20)</f>
        <v>257689.64902042525</v>
      </c>
      <c r="BH21" s="275">
        <f t="shared" si="37"/>
        <v>2104090.8258842388</v>
      </c>
      <c r="BJ21" s="275">
        <f t="shared" si="37"/>
        <v>23438084.039746493</v>
      </c>
    </row>
  </sheetData>
  <mergeCells count="2">
    <mergeCell ref="A1:C1"/>
    <mergeCell ref="A2:C2"/>
  </mergeCells>
  <pageMargins left="0.7" right="0.7" top="0.75" bottom="0.75" header="0.3" footer="0.3"/>
  <pageSetup scale="68" fitToWidth="3" orientation="landscape" horizontalDpi="1200" verticalDpi="1200" r:id="rId1"/>
  <headerFooter alignWithMargins="0">
    <oddHeader>&amp;R2014 Sales of Asset Filing
Advice 2014-xx
Page &amp;P of &amp;N</oddHeader>
    <oddFooter>&amp;L&amp;F
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20"/>
  <sheetViews>
    <sheetView zoomScale="90" zoomScaleNormal="90" workbookViewId="0">
      <pane xSplit="3" ySplit="6" topLeftCell="D7" activePane="bottomRight" state="frozen"/>
      <selection sqref="A1:O21"/>
      <selection pane="topRight" sqref="A1:O21"/>
      <selection pane="bottomLeft" sqref="A1:O21"/>
      <selection pane="bottomRight" sqref="A1:O21"/>
    </sheetView>
  </sheetViews>
  <sheetFormatPr defaultColWidth="8.81640625" defaultRowHeight="12.5" x14ac:dyDescent="0.25"/>
  <cols>
    <col min="1" max="1" width="16.26953125" style="241" customWidth="1"/>
    <col min="2" max="2" width="6.26953125" style="241" bestFit="1" customWidth="1"/>
    <col min="3" max="3" width="9.54296875" style="241" bestFit="1" customWidth="1"/>
    <col min="4" max="4" width="2.7265625" style="241" customWidth="1"/>
    <col min="5" max="6" width="10.453125" style="241" bestFit="1" customWidth="1"/>
    <col min="7" max="7" width="8.81640625" style="241" bestFit="1" customWidth="1"/>
    <col min="8" max="8" width="9.1796875" style="241" bestFit="1" customWidth="1"/>
    <col min="9" max="9" width="6.81640625" style="241" bestFit="1" customWidth="1"/>
    <col min="10" max="10" width="11.7265625" style="241" bestFit="1" customWidth="1"/>
    <col min="11" max="16384" width="8.81640625" style="241"/>
  </cols>
  <sheetData>
    <row r="1" spans="1:10" ht="31" x14ac:dyDescent="0.7">
      <c r="A1" s="287" t="s">
        <v>314</v>
      </c>
    </row>
    <row r="2" spans="1:10" ht="21" x14ac:dyDescent="0.5">
      <c r="A2" s="286" t="s">
        <v>313</v>
      </c>
    </row>
    <row r="3" spans="1:10" ht="13" thickBot="1" x14ac:dyDescent="0.3">
      <c r="E3" s="243"/>
      <c r="F3" s="243"/>
      <c r="G3" s="243"/>
      <c r="H3" s="243"/>
      <c r="I3" s="243"/>
      <c r="J3" s="243"/>
    </row>
    <row r="4" spans="1:10" ht="13" x14ac:dyDescent="0.3">
      <c r="E4" s="368" t="s">
        <v>304</v>
      </c>
      <c r="F4" s="369"/>
      <c r="G4" s="369"/>
      <c r="H4" s="369"/>
      <c r="I4" s="369"/>
      <c r="J4" s="370"/>
    </row>
    <row r="5" spans="1:10" x14ac:dyDescent="0.25">
      <c r="A5" s="242" t="s">
        <v>297</v>
      </c>
      <c r="B5" s="242" t="s">
        <v>28</v>
      </c>
      <c r="C5" s="242" t="s">
        <v>312</v>
      </c>
      <c r="E5" s="288" t="s">
        <v>1</v>
      </c>
      <c r="F5" s="261" t="s">
        <v>303</v>
      </c>
      <c r="G5" s="261" t="s">
        <v>302</v>
      </c>
      <c r="H5" s="261" t="s">
        <v>301</v>
      </c>
      <c r="I5" s="261" t="s">
        <v>300</v>
      </c>
      <c r="J5" s="260" t="s">
        <v>315</v>
      </c>
    </row>
    <row r="6" spans="1:10" x14ac:dyDescent="0.25">
      <c r="E6" s="255"/>
      <c r="F6" s="248"/>
      <c r="G6" s="248"/>
      <c r="H6" s="248"/>
      <c r="I6" s="248"/>
      <c r="J6" s="254"/>
    </row>
    <row r="7" spans="1:10" x14ac:dyDescent="0.25">
      <c r="A7" s="242">
        <v>2014</v>
      </c>
      <c r="B7" s="242">
        <v>10</v>
      </c>
      <c r="C7" s="276">
        <v>41913</v>
      </c>
      <c r="E7" s="250">
        <v>120647.895774832</v>
      </c>
      <c r="F7" s="249">
        <v>23028.534057879588</v>
      </c>
      <c r="G7" s="249">
        <v>1923.229855503334</v>
      </c>
      <c r="H7" s="249">
        <v>208.40063032799935</v>
      </c>
      <c r="I7" s="249">
        <v>123.55521470792974</v>
      </c>
      <c r="J7" s="252">
        <v>145931.61553325085</v>
      </c>
    </row>
    <row r="8" spans="1:10" x14ac:dyDescent="0.25">
      <c r="A8" s="242">
        <v>2014</v>
      </c>
      <c r="B8" s="242">
        <v>11</v>
      </c>
      <c r="C8" s="276">
        <v>41944</v>
      </c>
      <c r="E8" s="250">
        <v>110487.13989095239</v>
      </c>
      <c r="F8" s="249">
        <v>33158.233813961037</v>
      </c>
      <c r="G8" s="249">
        <v>-4441.8242297188699</v>
      </c>
      <c r="H8" s="249">
        <v>637.6427525871095</v>
      </c>
      <c r="I8" s="249">
        <v>173.90238689424439</v>
      </c>
      <c r="J8" s="252">
        <v>140015.09461467588</v>
      </c>
    </row>
    <row r="9" spans="1:10" x14ac:dyDescent="0.25">
      <c r="A9" s="242">
        <v>2014</v>
      </c>
      <c r="B9" s="242">
        <v>12</v>
      </c>
      <c r="C9" s="276">
        <v>41974</v>
      </c>
      <c r="E9" s="250">
        <v>136113.50876999879</v>
      </c>
      <c r="F9" s="249">
        <v>36459.386562274769</v>
      </c>
      <c r="G9" s="249">
        <v>-2365.8776025591651</v>
      </c>
      <c r="H9" s="249">
        <v>137.81584524524806</v>
      </c>
      <c r="I9" s="249">
        <v>200.95211106810837</v>
      </c>
      <c r="J9" s="252">
        <v>170545.78568602775</v>
      </c>
    </row>
    <row r="10" spans="1:10" x14ac:dyDescent="0.25">
      <c r="A10" s="242">
        <v>2015</v>
      </c>
      <c r="B10" s="242">
        <v>1</v>
      </c>
      <c r="C10" s="276">
        <v>42005</v>
      </c>
      <c r="E10" s="250">
        <v>-39394.588823640486</v>
      </c>
      <c r="F10" s="249">
        <v>-164.18200222996529</v>
      </c>
      <c r="G10" s="249">
        <v>9323.9482305889105</v>
      </c>
      <c r="H10" s="249">
        <v>-292.00432121996346</v>
      </c>
      <c r="I10" s="249">
        <v>-106.7910311900838</v>
      </c>
      <c r="J10" s="252">
        <v>-30633.61794769159</v>
      </c>
    </row>
    <row r="11" spans="1:10" x14ac:dyDescent="0.25">
      <c r="A11" s="242">
        <v>2015</v>
      </c>
      <c r="B11" s="242">
        <v>2</v>
      </c>
      <c r="C11" s="276">
        <v>42036</v>
      </c>
      <c r="E11" s="250">
        <v>-140564.00176698598</v>
      </c>
      <c r="F11" s="249">
        <v>-65574.761923165061</v>
      </c>
      <c r="G11" s="249">
        <v>-6133.921580419963</v>
      </c>
      <c r="H11" s="249">
        <v>-805.42329530408188</v>
      </c>
      <c r="I11" s="249">
        <v>-87.028682228878552</v>
      </c>
      <c r="J11" s="252">
        <v>-213165.13724810397</v>
      </c>
    </row>
    <row r="12" spans="1:10" x14ac:dyDescent="0.25">
      <c r="A12" s="242">
        <v>2015</v>
      </c>
      <c r="B12" s="242">
        <v>3</v>
      </c>
      <c r="C12" s="276">
        <v>42064</v>
      </c>
      <c r="E12" s="250">
        <v>-38790.599406814552</v>
      </c>
      <c r="F12" s="249">
        <v>-1893.454001029022</v>
      </c>
      <c r="G12" s="249">
        <v>256.42045151717321</v>
      </c>
      <c r="H12" s="249">
        <v>234.25041823564879</v>
      </c>
      <c r="I12" s="249">
        <v>-44.950144548077901</v>
      </c>
      <c r="J12" s="252">
        <v>-40238.332682638829</v>
      </c>
    </row>
    <row r="13" spans="1:10" x14ac:dyDescent="0.25">
      <c r="A13" s="242">
        <v>2015</v>
      </c>
      <c r="B13" s="242">
        <v>4</v>
      </c>
      <c r="C13" s="276">
        <v>42095</v>
      </c>
      <c r="E13" s="250">
        <v>-56811.1109488972</v>
      </c>
      <c r="F13" s="249">
        <v>-1543.3986827118788</v>
      </c>
      <c r="G13" s="249">
        <v>-1540.4530369341519</v>
      </c>
      <c r="H13" s="249">
        <v>-406.62052121652869</v>
      </c>
      <c r="I13" s="249">
        <v>-113.38126575698857</v>
      </c>
      <c r="J13" s="252">
        <v>-60414.964455516747</v>
      </c>
    </row>
    <row r="14" spans="1:10" x14ac:dyDescent="0.25">
      <c r="A14" s="242">
        <v>2015</v>
      </c>
      <c r="B14" s="242">
        <v>5</v>
      </c>
      <c r="C14" s="276">
        <v>42125</v>
      </c>
      <c r="E14" s="250">
        <v>-63736.290333440178</v>
      </c>
      <c r="F14" s="249">
        <v>-596.08109110163059</v>
      </c>
      <c r="G14" s="249">
        <v>2043.8288971422444</v>
      </c>
      <c r="H14" s="249">
        <v>-4.6632559204263089</v>
      </c>
      <c r="I14" s="249">
        <v>-84.858294276492359</v>
      </c>
      <c r="J14" s="252">
        <v>-62378.064077596486</v>
      </c>
    </row>
    <row r="15" spans="1:10" x14ac:dyDescent="0.25">
      <c r="A15" s="242">
        <v>2015</v>
      </c>
      <c r="B15" s="242">
        <v>6</v>
      </c>
      <c r="C15" s="276">
        <v>42156</v>
      </c>
      <c r="E15" s="250">
        <v>-44238.296024841722</v>
      </c>
      <c r="F15" s="249">
        <v>-20110.997062350507</v>
      </c>
      <c r="G15" s="249">
        <v>444.53610190714244</v>
      </c>
      <c r="H15" s="249">
        <v>40.389371777218912</v>
      </c>
      <c r="I15" s="249">
        <v>-63.833150777081244</v>
      </c>
      <c r="J15" s="252">
        <v>-63928.200764284949</v>
      </c>
    </row>
    <row r="16" spans="1:10" x14ac:dyDescent="0.25">
      <c r="A16" s="242">
        <v>2015</v>
      </c>
      <c r="B16" s="242">
        <v>7</v>
      </c>
      <c r="C16" s="276">
        <v>42186</v>
      </c>
      <c r="E16" s="250">
        <v>9894.9088039805647</v>
      </c>
      <c r="F16" s="249">
        <v>18060.975959179341</v>
      </c>
      <c r="G16" s="249">
        <v>1082.7514217212884</v>
      </c>
      <c r="H16" s="249">
        <v>-86.16496815156097</v>
      </c>
      <c r="I16" s="249">
        <v>-18.699977040573742</v>
      </c>
      <c r="J16" s="252">
        <v>28933.771239689057</v>
      </c>
    </row>
    <row r="17" spans="1:15" x14ac:dyDescent="0.25">
      <c r="A17" s="242">
        <v>2015</v>
      </c>
      <c r="B17" s="242">
        <v>8</v>
      </c>
      <c r="C17" s="276">
        <v>42217</v>
      </c>
      <c r="E17" s="250">
        <v>8510.0115762978094</v>
      </c>
      <c r="F17" s="249">
        <v>12073.536096933647</v>
      </c>
      <c r="G17" s="249">
        <v>270.16243530096835</v>
      </c>
      <c r="H17" s="249">
        <v>332.65119194796262</v>
      </c>
      <c r="I17" s="249">
        <v>-9.9715100713680727</v>
      </c>
      <c r="J17" s="252">
        <v>21176.389790409019</v>
      </c>
    </row>
    <row r="18" spans="1:15" x14ac:dyDescent="0.25">
      <c r="A18" s="242">
        <v>2015</v>
      </c>
      <c r="B18" s="242">
        <v>9</v>
      </c>
      <c r="C18" s="276">
        <v>42248</v>
      </c>
      <c r="E18" s="250">
        <v>367.46606758935377</v>
      </c>
      <c r="F18" s="249">
        <v>-26600.133073120378</v>
      </c>
      <c r="G18" s="249">
        <v>-3163.6278545559035</v>
      </c>
      <c r="H18" s="249">
        <v>25.375038902256165</v>
      </c>
      <c r="I18" s="249">
        <v>32.450317880528985</v>
      </c>
      <c r="J18" s="252">
        <v>-29338.469503304143</v>
      </c>
    </row>
    <row r="20" spans="1:15" x14ac:dyDescent="0.25">
      <c r="E20" s="275">
        <f>SUM(E7:E19)</f>
        <v>2486.043579030782</v>
      </c>
      <c r="F20" s="275">
        <f t="shared" ref="F20:J20" si="0">SUM(F7:F19)</f>
        <v>6297.6586545199389</v>
      </c>
      <c r="G20" s="275">
        <f t="shared" si="0"/>
        <v>-2300.8269105069921</v>
      </c>
      <c r="H20" s="275">
        <f t="shared" si="0"/>
        <v>21.648887210882094</v>
      </c>
      <c r="I20" s="275">
        <f t="shared" si="0"/>
        <v>1.3459746612672348</v>
      </c>
      <c r="J20" s="275">
        <f t="shared" si="0"/>
        <v>6505.8701849157806</v>
      </c>
      <c r="K20" s="275"/>
      <c r="L20" s="275"/>
      <c r="M20" s="275"/>
      <c r="N20" s="275"/>
      <c r="O20" s="275"/>
    </row>
  </sheetData>
  <mergeCells count="1">
    <mergeCell ref="E4:J4"/>
  </mergeCells>
  <printOptions horizontalCentered="1"/>
  <pageMargins left="0.7" right="0.7" top="0.75" bottom="0.75" header="0.3" footer="0.3"/>
  <pageSetup orientation="landscape" horizontalDpi="1200" verticalDpi="1200" r:id="rId1"/>
  <headerFooter alignWithMargins="0">
    <oddHeader>&amp;R2014 Sales of Asset Filing</oddHeader>
    <oddFooter>&amp;L&amp;F
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9" sqref="J39"/>
    </sheetView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47"/>
  <sheetViews>
    <sheetView topLeftCell="A7" zoomScale="90" zoomScaleNormal="90" workbookViewId="0">
      <selection activeCell="E37" sqref="E37"/>
    </sheetView>
  </sheetViews>
  <sheetFormatPr defaultRowHeight="12.5" x14ac:dyDescent="0.25"/>
  <cols>
    <col min="2" max="2" width="54.54296875" bestFit="1" customWidth="1"/>
    <col min="3" max="3" width="15" bestFit="1" customWidth="1"/>
    <col min="4" max="4" width="14.26953125" bestFit="1" customWidth="1"/>
    <col min="5" max="5" width="13.453125" bestFit="1" customWidth="1"/>
    <col min="6" max="8" width="12.81640625" bestFit="1" customWidth="1"/>
    <col min="9" max="9" width="12.54296875" bestFit="1" customWidth="1"/>
    <col min="10" max="10" width="11.81640625" bestFit="1" customWidth="1"/>
    <col min="11" max="12" width="12.54296875" bestFit="1" customWidth="1"/>
    <col min="13" max="13" width="11.54296875" bestFit="1" customWidth="1"/>
  </cols>
  <sheetData>
    <row r="1" spans="1:13" ht="13" x14ac:dyDescent="0.3">
      <c r="A1" s="349" t="s">
        <v>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ht="13" x14ac:dyDescent="0.3">
      <c r="A2" s="349" t="s">
        <v>340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 ht="13" x14ac:dyDescent="0.3">
      <c r="A3" s="349" t="s">
        <v>386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1:13" ht="13" x14ac:dyDescent="0.3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3" ht="13" x14ac:dyDescent="0.3">
      <c r="A5" s="317"/>
      <c r="B5" s="318"/>
      <c r="C5" s="348" t="s">
        <v>342</v>
      </c>
      <c r="D5" s="348"/>
      <c r="E5" s="348"/>
      <c r="F5" s="348"/>
      <c r="G5" s="318"/>
      <c r="H5" s="318"/>
      <c r="I5" s="318"/>
      <c r="J5" s="318"/>
      <c r="K5" s="318"/>
      <c r="L5" s="318"/>
      <c r="M5" s="318"/>
    </row>
    <row r="6" spans="1:13" ht="26" x14ac:dyDescent="0.3">
      <c r="A6" s="319" t="s">
        <v>4</v>
      </c>
      <c r="B6" s="319" t="s">
        <v>343</v>
      </c>
      <c r="C6" s="320" t="s">
        <v>344</v>
      </c>
      <c r="D6" s="319" t="s">
        <v>345</v>
      </c>
      <c r="E6" s="319" t="s">
        <v>346</v>
      </c>
      <c r="F6" s="321" t="s">
        <v>347</v>
      </c>
      <c r="G6" s="318"/>
      <c r="H6" s="318"/>
      <c r="I6" s="318"/>
      <c r="J6" s="318"/>
      <c r="K6" s="318"/>
      <c r="L6" s="318"/>
      <c r="M6" s="318"/>
    </row>
    <row r="7" spans="1:13" ht="13.5" x14ac:dyDescent="0.35">
      <c r="A7" s="317">
        <v>1</v>
      </c>
      <c r="B7" s="322" t="s">
        <v>348</v>
      </c>
      <c r="C7" s="323"/>
      <c r="D7" s="323"/>
      <c r="E7" s="323"/>
      <c r="F7" s="323"/>
      <c r="G7" s="324"/>
      <c r="H7" s="318"/>
      <c r="I7" s="318"/>
      <c r="J7" s="318"/>
      <c r="K7" s="318"/>
      <c r="L7" s="318"/>
      <c r="M7" s="318"/>
    </row>
    <row r="8" spans="1:13" ht="13" x14ac:dyDescent="0.3">
      <c r="A8" s="317">
        <f>A7+1</f>
        <v>2</v>
      </c>
      <c r="B8" s="318" t="s">
        <v>349</v>
      </c>
      <c r="C8" s="325">
        <f>SUM(D8:F8)</f>
        <v>76625170.570920095</v>
      </c>
      <c r="D8" s="325">
        <v>2019801.7609200478</v>
      </c>
      <c r="E8" s="325">
        <v>65683353.600000054</v>
      </c>
      <c r="F8" s="325">
        <v>8922015.209999999</v>
      </c>
      <c r="G8" s="326"/>
      <c r="H8" s="325"/>
      <c r="I8" s="318"/>
      <c r="J8" s="318"/>
      <c r="K8" s="318"/>
      <c r="L8" s="318"/>
      <c r="M8" s="318"/>
    </row>
    <row r="9" spans="1:13" ht="13" x14ac:dyDescent="0.3">
      <c r="A9" s="317">
        <f>A8+1</f>
        <v>3</v>
      </c>
      <c r="B9" s="327" t="s">
        <v>350</v>
      </c>
      <c r="C9" s="328">
        <f>SUM(D9:F9)</f>
        <v>-29938735.44000005</v>
      </c>
      <c r="D9" s="328">
        <v>-1099040.6500000097</v>
      </c>
      <c r="E9" s="328">
        <v>-25293318.06000004</v>
      </c>
      <c r="F9" s="328">
        <v>-3546376.7299999995</v>
      </c>
      <c r="G9" s="326"/>
      <c r="H9" s="318"/>
      <c r="I9" s="318"/>
      <c r="J9" s="318"/>
      <c r="K9" s="318"/>
      <c r="L9" s="318"/>
      <c r="M9" s="318"/>
    </row>
    <row r="10" spans="1:13" ht="13" x14ac:dyDescent="0.3">
      <c r="A10" s="317">
        <f t="shared" ref="A10:A46" si="0">A9+1</f>
        <v>4</v>
      </c>
      <c r="B10" s="318" t="s">
        <v>351</v>
      </c>
      <c r="C10" s="325">
        <f>SUM(C8:C9)</f>
        <v>46686435.130920045</v>
      </c>
      <c r="D10" s="325">
        <f>SUM(D8:D9)</f>
        <v>920761.11092003807</v>
      </c>
      <c r="E10" s="325">
        <f>SUM(E8:E9)</f>
        <v>40390035.540000014</v>
      </c>
      <c r="F10" s="325">
        <f>SUM(F8:F9)</f>
        <v>5375638.4799999995</v>
      </c>
      <c r="G10" s="326"/>
      <c r="H10" s="318"/>
      <c r="I10" s="318"/>
      <c r="J10" s="318"/>
      <c r="K10" s="318"/>
      <c r="L10" s="318"/>
      <c r="M10" s="318"/>
    </row>
    <row r="11" spans="1:13" ht="13" x14ac:dyDescent="0.3">
      <c r="A11" s="317">
        <f t="shared" si="0"/>
        <v>5</v>
      </c>
      <c r="B11" s="317" t="s">
        <v>352</v>
      </c>
      <c r="C11" s="329">
        <f>C10/SUM($E$10,$F$10, $D$10)</f>
        <v>0.99999999999999989</v>
      </c>
      <c r="D11" s="329">
        <f>D10/SUM($E$10,$F$10, $D$10)</f>
        <v>1.9722240696639214E-2</v>
      </c>
      <c r="E11" s="329">
        <f>E10/SUM($E$10,$F$10, $D$10)</f>
        <v>0.86513428208293452</v>
      </c>
      <c r="F11" s="329">
        <f>F10/SUM($E$10,$F$10, $D$10)</f>
        <v>0.11514347722042623</v>
      </c>
      <c r="G11" s="330"/>
      <c r="H11" s="318"/>
      <c r="I11" s="318"/>
      <c r="J11" s="318"/>
      <c r="K11" s="318"/>
      <c r="L11" s="318"/>
      <c r="M11" s="318"/>
    </row>
    <row r="12" spans="1:13" ht="13" x14ac:dyDescent="0.3">
      <c r="A12" s="317">
        <f t="shared" si="0"/>
        <v>6</v>
      </c>
      <c r="B12" s="318" t="s">
        <v>387</v>
      </c>
      <c r="C12" s="331">
        <v>-59245654.401226826</v>
      </c>
      <c r="D12" s="332">
        <f>D11*$C$12</f>
        <v>-1168457.0563308978</v>
      </c>
      <c r="E12" s="333">
        <f>E11*$C$12</f>
        <v>-51255446.686939023</v>
      </c>
      <c r="F12" s="334">
        <f>F11*$C$12</f>
        <v>-6821750.6579569057</v>
      </c>
      <c r="G12" s="335"/>
      <c r="H12" s="318"/>
      <c r="I12" s="318"/>
      <c r="J12" s="318"/>
      <c r="K12" s="318"/>
      <c r="L12" s="318"/>
      <c r="M12" s="318"/>
    </row>
    <row r="13" spans="1:13" ht="13" x14ac:dyDescent="0.3">
      <c r="A13" s="317">
        <f t="shared" si="0"/>
        <v>7</v>
      </c>
      <c r="B13" s="318"/>
      <c r="C13" s="318"/>
      <c r="D13" s="330"/>
      <c r="E13" s="330"/>
      <c r="F13" s="318"/>
      <c r="G13" s="318"/>
      <c r="H13" s="318"/>
      <c r="I13" s="318"/>
      <c r="J13" s="318"/>
      <c r="K13" s="318"/>
      <c r="L13" s="318"/>
      <c r="M13" s="318"/>
    </row>
    <row r="14" spans="1:13" ht="13" x14ac:dyDescent="0.3">
      <c r="A14" s="317">
        <f t="shared" si="0"/>
        <v>8</v>
      </c>
      <c r="B14" s="318"/>
      <c r="C14" s="348" t="s">
        <v>354</v>
      </c>
      <c r="D14" s="348"/>
      <c r="E14" s="348"/>
      <c r="F14" s="348"/>
      <c r="G14" s="348"/>
      <c r="H14" s="348"/>
      <c r="I14" s="348"/>
      <c r="J14" s="348"/>
      <c r="K14" s="348"/>
      <c r="L14" s="348"/>
      <c r="M14" s="348"/>
    </row>
    <row r="15" spans="1:13" ht="26" x14ac:dyDescent="0.3">
      <c r="A15" s="317">
        <f t="shared" si="0"/>
        <v>9</v>
      </c>
      <c r="B15" s="318"/>
      <c r="C15" s="320" t="s">
        <v>344</v>
      </c>
      <c r="D15" s="319" t="s">
        <v>355</v>
      </c>
      <c r="E15" s="319" t="s">
        <v>356</v>
      </c>
      <c r="F15" s="319" t="s">
        <v>357</v>
      </c>
      <c r="G15" s="319" t="s">
        <v>358</v>
      </c>
      <c r="H15" s="319" t="s">
        <v>359</v>
      </c>
      <c r="I15" s="319" t="s">
        <v>360</v>
      </c>
      <c r="J15" s="319" t="s">
        <v>361</v>
      </c>
      <c r="K15" s="319" t="s">
        <v>362</v>
      </c>
      <c r="L15" s="319" t="s">
        <v>363</v>
      </c>
      <c r="M15" s="321" t="s">
        <v>364</v>
      </c>
    </row>
    <row r="16" spans="1:13" ht="13.5" x14ac:dyDescent="0.35">
      <c r="A16" s="317">
        <f t="shared" si="0"/>
        <v>10</v>
      </c>
      <c r="B16" s="322" t="s">
        <v>365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</row>
    <row r="17" spans="1:13" ht="13" x14ac:dyDescent="0.3">
      <c r="A17" s="317">
        <f t="shared" si="0"/>
        <v>11</v>
      </c>
      <c r="B17" s="336" t="s">
        <v>345</v>
      </c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</row>
    <row r="18" spans="1:13" ht="13" x14ac:dyDescent="0.3">
      <c r="A18" s="317">
        <f t="shared" si="0"/>
        <v>12</v>
      </c>
      <c r="B18" s="318" t="s">
        <v>349</v>
      </c>
      <c r="C18" s="325">
        <v>299479149</v>
      </c>
      <c r="D18" s="325">
        <v>183926072.70731068</v>
      </c>
      <c r="E18" s="325">
        <v>35724662.254275985</v>
      </c>
      <c r="F18" s="325">
        <v>30568268.407571789</v>
      </c>
      <c r="G18" s="325">
        <v>17992341.963605236</v>
      </c>
      <c r="H18" s="325">
        <v>13987644.779568054</v>
      </c>
      <c r="I18" s="325">
        <v>6789748.1593476692</v>
      </c>
      <c r="J18" s="325">
        <v>4329004.804031753</v>
      </c>
      <c r="K18" s="325">
        <v>2458652.6364702187</v>
      </c>
      <c r="L18" s="325">
        <v>3349341.4354567737</v>
      </c>
      <c r="M18" s="325">
        <v>353411.85236181942</v>
      </c>
    </row>
    <row r="19" spans="1:13" ht="13" x14ac:dyDescent="0.3">
      <c r="A19" s="317">
        <f t="shared" si="0"/>
        <v>13</v>
      </c>
      <c r="B19" s="327" t="s">
        <v>350</v>
      </c>
      <c r="C19" s="328">
        <v>-75827762</v>
      </c>
      <c r="D19" s="328">
        <v>-46569861.419115551</v>
      </c>
      <c r="E19" s="328">
        <v>-9045441.7143666465</v>
      </c>
      <c r="F19" s="328">
        <v>-7739848.9654499227</v>
      </c>
      <c r="G19" s="328">
        <v>-4555639.4453320401</v>
      </c>
      <c r="H19" s="328">
        <v>-3541654.9126284234</v>
      </c>
      <c r="I19" s="328">
        <v>-1719156.1054788269</v>
      </c>
      <c r="J19" s="328">
        <v>-1096098.8338355958</v>
      </c>
      <c r="K19" s="328">
        <v>-622527.90413444221</v>
      </c>
      <c r="L19" s="328">
        <v>-848049.24173387</v>
      </c>
      <c r="M19" s="328">
        <v>-89483.457924715767</v>
      </c>
    </row>
    <row r="20" spans="1:13" ht="13" x14ac:dyDescent="0.3">
      <c r="A20" s="317">
        <f t="shared" si="0"/>
        <v>14</v>
      </c>
      <c r="B20" s="318" t="s">
        <v>351</v>
      </c>
      <c r="C20" s="325">
        <f>SUM(C18:C19)</f>
        <v>223651387</v>
      </c>
      <c r="D20" s="325">
        <f t="shared" ref="D20:M20" si="1">SUM(D18:D19)</f>
        <v>137356211.28819513</v>
      </c>
      <c r="E20" s="325">
        <f t="shared" si="1"/>
        <v>26679220.53990934</v>
      </c>
      <c r="F20" s="325">
        <f t="shared" si="1"/>
        <v>22828419.442121867</v>
      </c>
      <c r="G20" s="325">
        <f t="shared" si="1"/>
        <v>13436702.518273197</v>
      </c>
      <c r="H20" s="325">
        <f t="shared" si="1"/>
        <v>10445989.86693963</v>
      </c>
      <c r="I20" s="325">
        <f t="shared" si="1"/>
        <v>5070592.0538688423</v>
      </c>
      <c r="J20" s="325">
        <f t="shared" si="1"/>
        <v>3232905.9701961572</v>
      </c>
      <c r="K20" s="325">
        <f t="shared" si="1"/>
        <v>1836124.7323357766</v>
      </c>
      <c r="L20" s="325">
        <f t="shared" si="1"/>
        <v>2501292.1937229037</v>
      </c>
      <c r="M20" s="325">
        <f t="shared" si="1"/>
        <v>263928.39443710365</v>
      </c>
    </row>
    <row r="21" spans="1:13" ht="13" x14ac:dyDescent="0.3">
      <c r="A21" s="317">
        <f t="shared" si="0"/>
        <v>15</v>
      </c>
      <c r="B21" s="317" t="s">
        <v>366</v>
      </c>
      <c r="C21" s="329">
        <f>C20/$C$20</f>
        <v>1</v>
      </c>
      <c r="D21" s="329">
        <f>D20/$C$20</f>
        <v>0.61415318335671731</v>
      </c>
      <c r="E21" s="329">
        <f t="shared" ref="E21:M21" si="2">E20/$C$20</f>
        <v>0.11928931404261464</v>
      </c>
      <c r="F21" s="329">
        <f t="shared" si="2"/>
        <v>0.10207144139965413</v>
      </c>
      <c r="G21" s="329">
        <f t="shared" si="2"/>
        <v>6.0078780187816129E-2</v>
      </c>
      <c r="H21" s="329">
        <f t="shared" si="2"/>
        <v>4.670657314966542E-2</v>
      </c>
      <c r="I21" s="329">
        <f t="shared" si="2"/>
        <v>2.267185606082936E-2</v>
      </c>
      <c r="J21" s="329">
        <f t="shared" si="2"/>
        <v>1.4455112546188489E-2</v>
      </c>
      <c r="K21" s="329">
        <f t="shared" si="2"/>
        <v>8.2097623313007965E-3</v>
      </c>
      <c r="L21" s="329">
        <f t="shared" si="2"/>
        <v>1.1183888583364358E-2</v>
      </c>
      <c r="M21" s="329">
        <f t="shared" si="2"/>
        <v>1.1800883418491997E-3</v>
      </c>
    </row>
    <row r="22" spans="1:13" ht="13" x14ac:dyDescent="0.3">
      <c r="A22" s="317">
        <f t="shared" si="0"/>
        <v>16</v>
      </c>
      <c r="B22" s="318" t="s">
        <v>367</v>
      </c>
      <c r="C22" s="332">
        <f>D12</f>
        <v>-1168457.0563308978</v>
      </c>
      <c r="D22" s="325">
        <f>$C$22*D21</f>
        <v>-717611.62076124002</v>
      </c>
      <c r="E22" s="325">
        <f t="shared" ref="E22:M22" si="3">$C$22*E21</f>
        <v>-139384.44073796555</v>
      </c>
      <c r="F22" s="325">
        <f t="shared" si="3"/>
        <v>-119266.0959532916</v>
      </c>
      <c r="G22" s="325">
        <f t="shared" si="3"/>
        <v>-70199.474646206698</v>
      </c>
      <c r="H22" s="325">
        <f t="shared" si="3"/>
        <v>-54574.624973761805</v>
      </c>
      <c r="I22" s="325">
        <f t="shared" si="3"/>
        <v>-26491.090194394499</v>
      </c>
      <c r="J22" s="325">
        <f t="shared" si="3"/>
        <v>-16890.178254651233</v>
      </c>
      <c r="K22" s="325">
        <f t="shared" si="3"/>
        <v>-9592.7547268080179</v>
      </c>
      <c r="L22" s="325">
        <f t="shared" si="3"/>
        <v>-13067.893532450653</v>
      </c>
      <c r="M22" s="325">
        <f t="shared" si="3"/>
        <v>-1378.8825501275262</v>
      </c>
    </row>
    <row r="23" spans="1:13" ht="13" x14ac:dyDescent="0.3">
      <c r="A23" s="317">
        <f t="shared" si="0"/>
        <v>17</v>
      </c>
      <c r="B23" s="318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</row>
    <row r="24" spans="1:13" ht="13" x14ac:dyDescent="0.3">
      <c r="A24" s="317">
        <f t="shared" si="0"/>
        <v>18</v>
      </c>
      <c r="B24" s="327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</row>
    <row r="25" spans="1:13" ht="13" x14ac:dyDescent="0.3">
      <c r="A25" s="317">
        <f>A24+1</f>
        <v>19</v>
      </c>
      <c r="B25" s="336" t="s">
        <v>346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</row>
    <row r="26" spans="1:13" ht="13" x14ac:dyDescent="0.3">
      <c r="A26" s="317">
        <f t="shared" si="0"/>
        <v>20</v>
      </c>
      <c r="B26" s="318" t="s">
        <v>349</v>
      </c>
      <c r="C26" s="325">
        <v>2873557373.994164</v>
      </c>
      <c r="D26" s="325">
        <v>1877694493.4489975</v>
      </c>
      <c r="E26" s="325">
        <v>353147029.35368353</v>
      </c>
      <c r="F26" s="325">
        <v>268982724.83388561</v>
      </c>
      <c r="G26" s="325">
        <v>117261663.29818814</v>
      </c>
      <c r="H26" s="325">
        <v>126778248.28998038</v>
      </c>
      <c r="I26" s="325">
        <v>36967690.056192003</v>
      </c>
      <c r="J26" s="325">
        <v>12310302.167489491</v>
      </c>
      <c r="K26" s="325">
        <v>8975782.6975570992</v>
      </c>
      <c r="L26" s="325">
        <v>67863140.780171394</v>
      </c>
      <c r="M26" s="325">
        <v>3576299.0680197165</v>
      </c>
    </row>
    <row r="27" spans="1:13" ht="13" x14ac:dyDescent="0.3">
      <c r="A27" s="317">
        <f t="shared" si="0"/>
        <v>21</v>
      </c>
      <c r="B27" s="327" t="s">
        <v>350</v>
      </c>
      <c r="C27" s="328">
        <v>-1043566142.7949973</v>
      </c>
      <c r="D27" s="328">
        <v>-693854424.564062</v>
      </c>
      <c r="E27" s="328">
        <v>-122545714.80892678</v>
      </c>
      <c r="F27" s="328">
        <v>-92111948.230374411</v>
      </c>
      <c r="G27" s="328">
        <v>-39514282.428008534</v>
      </c>
      <c r="H27" s="328">
        <v>-42834552.201430514</v>
      </c>
      <c r="I27" s="328">
        <v>-13697162.259959668</v>
      </c>
      <c r="J27" s="328">
        <v>-4262277.4844357464</v>
      </c>
      <c r="K27" s="328">
        <v>-4225436.454083113</v>
      </c>
      <c r="L27" s="328">
        <v>-28498113.887204614</v>
      </c>
      <c r="M27" s="328">
        <v>-2022230.4765121113</v>
      </c>
    </row>
    <row r="28" spans="1:13" ht="13" x14ac:dyDescent="0.3">
      <c r="A28" s="317">
        <f t="shared" si="0"/>
        <v>22</v>
      </c>
      <c r="B28" s="318" t="s">
        <v>351</v>
      </c>
      <c r="C28" s="325">
        <f>SUM(C26:C27)</f>
        <v>1829991231.1991668</v>
      </c>
      <c r="D28" s="325">
        <f t="shared" ref="D28:M28" si="4">SUM(D26:D27)</f>
        <v>1183840068.8849354</v>
      </c>
      <c r="E28" s="325">
        <f t="shared" si="4"/>
        <v>230601314.54475677</v>
      </c>
      <c r="F28" s="325">
        <f t="shared" si="4"/>
        <v>176870776.60351121</v>
      </c>
      <c r="G28" s="325">
        <f t="shared" si="4"/>
        <v>77747380.870179594</v>
      </c>
      <c r="H28" s="325">
        <f t="shared" si="4"/>
        <v>83943696.088549867</v>
      </c>
      <c r="I28" s="325">
        <f t="shared" si="4"/>
        <v>23270527.796232335</v>
      </c>
      <c r="J28" s="325">
        <f t="shared" si="4"/>
        <v>8048024.683053745</v>
      </c>
      <c r="K28" s="325">
        <f t="shared" si="4"/>
        <v>4750346.2434739862</v>
      </c>
      <c r="L28" s="325">
        <f t="shared" si="4"/>
        <v>39365026.892966777</v>
      </c>
      <c r="M28" s="325">
        <f t="shared" si="4"/>
        <v>1554068.5915076053</v>
      </c>
    </row>
    <row r="29" spans="1:13" ht="13" x14ac:dyDescent="0.3">
      <c r="A29" s="317">
        <f t="shared" si="0"/>
        <v>23</v>
      </c>
      <c r="B29" s="317" t="s">
        <v>368</v>
      </c>
      <c r="C29" s="329">
        <f t="shared" ref="C29:M29" si="5">C28/$C$28</f>
        <v>1</v>
      </c>
      <c r="D29" s="329">
        <f t="shared" si="5"/>
        <v>0.64691024126338692</v>
      </c>
      <c r="E29" s="329">
        <f t="shared" si="5"/>
        <v>0.12601225110442035</v>
      </c>
      <c r="F29" s="329">
        <f t="shared" si="5"/>
        <v>9.665116072037698E-2</v>
      </c>
      <c r="G29" s="329">
        <f t="shared" si="5"/>
        <v>4.2485111155004203E-2</v>
      </c>
      <c r="H29" s="329">
        <f t="shared" si="5"/>
        <v>4.5871091979792042E-2</v>
      </c>
      <c r="I29" s="329">
        <f t="shared" si="5"/>
        <v>1.2716196339904588E-2</v>
      </c>
      <c r="J29" s="329">
        <f t="shared" si="5"/>
        <v>4.3978487688052965E-3</v>
      </c>
      <c r="K29" s="329">
        <f t="shared" si="5"/>
        <v>2.5958300578091584E-3</v>
      </c>
      <c r="L29" s="329">
        <f t="shared" si="5"/>
        <v>2.1511046731722012E-2</v>
      </c>
      <c r="M29" s="329">
        <f t="shared" si="5"/>
        <v>8.4922187877875597E-4</v>
      </c>
    </row>
    <row r="30" spans="1:13" ht="13" x14ac:dyDescent="0.3">
      <c r="A30" s="317">
        <f t="shared" si="0"/>
        <v>24</v>
      </c>
      <c r="B30" s="318" t="s">
        <v>369</v>
      </c>
      <c r="C30" s="333">
        <f>E12</f>
        <v>-51255446.686939023</v>
      </c>
      <c r="D30" s="325">
        <f>$C$30*D29</f>
        <v>-33157673.38231039</v>
      </c>
      <c r="E30" s="325">
        <f t="shared" ref="E30:M30" si="6">$C$30*E29</f>
        <v>-6458814.2183837909</v>
      </c>
      <c r="F30" s="325">
        <f t="shared" si="6"/>
        <v>-4953898.4155340577</v>
      </c>
      <c r="G30" s="325">
        <f t="shared" si="6"/>
        <v>-2177593.3497939962</v>
      </c>
      <c r="H30" s="325">
        <f t="shared" si="6"/>
        <v>-2351143.3094419073</v>
      </c>
      <c r="I30" s="325">
        <f t="shared" si="6"/>
        <v>-651774.32356062869</v>
      </c>
      <c r="J30" s="325">
        <f t="shared" si="6"/>
        <v>-225413.70310672029</v>
      </c>
      <c r="K30" s="325">
        <f t="shared" si="6"/>
        <v>-133050.42913639118</v>
      </c>
      <c r="L30" s="325">
        <f t="shared" si="6"/>
        <v>-1102558.3089380316</v>
      </c>
      <c r="M30" s="325">
        <f t="shared" si="6"/>
        <v>-43527.246733126718</v>
      </c>
    </row>
    <row r="31" spans="1:13" ht="13" x14ac:dyDescent="0.3">
      <c r="A31" s="317">
        <f t="shared" si="0"/>
        <v>25</v>
      </c>
      <c r="B31" s="318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</row>
    <row r="32" spans="1:13" ht="13" x14ac:dyDescent="0.3">
      <c r="A32" s="317">
        <f t="shared" si="0"/>
        <v>26</v>
      </c>
      <c r="B32" s="327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</row>
    <row r="33" spans="1:13" ht="13" x14ac:dyDescent="0.3">
      <c r="A33" s="317">
        <f t="shared" si="0"/>
        <v>27</v>
      </c>
      <c r="B33" s="336" t="s">
        <v>347</v>
      </c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</row>
    <row r="34" spans="1:13" ht="13" x14ac:dyDescent="0.3">
      <c r="A34" s="317">
        <f t="shared" si="0"/>
        <v>28</v>
      </c>
      <c r="B34" s="318" t="s">
        <v>349</v>
      </c>
      <c r="C34" s="325">
        <v>582841970.48999989</v>
      </c>
      <c r="D34" s="325">
        <v>285241956.64519405</v>
      </c>
      <c r="E34" s="325">
        <v>64570036.957191288</v>
      </c>
      <c r="F34" s="325">
        <v>71573678.682412505</v>
      </c>
      <c r="G34" s="325">
        <v>47960386.42384474</v>
      </c>
      <c r="H34" s="325">
        <v>33043739.754995074</v>
      </c>
      <c r="I34" s="325">
        <v>17599964.610347219</v>
      </c>
      <c r="J34" s="325">
        <v>12964453.863356486</v>
      </c>
      <c r="K34" s="325">
        <v>44387745.311653435</v>
      </c>
      <c r="L34" s="325">
        <v>1994122.6333618714</v>
      </c>
      <c r="M34" s="325">
        <v>3505885.6076431838</v>
      </c>
    </row>
    <row r="35" spans="1:13" ht="13" x14ac:dyDescent="0.3">
      <c r="A35" s="317">
        <f t="shared" si="0"/>
        <v>29</v>
      </c>
      <c r="B35" s="327" t="s">
        <v>350</v>
      </c>
      <c r="C35" s="328">
        <v>-171404863.2700001</v>
      </c>
      <c r="D35" s="328">
        <v>-83885274.31635201</v>
      </c>
      <c r="E35" s="328">
        <v>-18989055.209393367</v>
      </c>
      <c r="F35" s="328">
        <v>-21048718.5711351</v>
      </c>
      <c r="G35" s="328">
        <v>-14104412.334005935</v>
      </c>
      <c r="H35" s="328">
        <v>-9717655.8679752387</v>
      </c>
      <c r="I35" s="328">
        <v>-5175879.0209586769</v>
      </c>
      <c r="J35" s="328">
        <v>-3812646.5737370402</v>
      </c>
      <c r="K35" s="328">
        <v>-13053753.506479995</v>
      </c>
      <c r="L35" s="328">
        <v>-586440.8100666604</v>
      </c>
      <c r="M35" s="328">
        <v>-1031027.059896078</v>
      </c>
    </row>
    <row r="36" spans="1:13" ht="13" x14ac:dyDescent="0.3">
      <c r="A36" s="317">
        <f t="shared" si="0"/>
        <v>30</v>
      </c>
      <c r="B36" s="318" t="s">
        <v>351</v>
      </c>
      <c r="C36" s="325">
        <f>SUM(C34:C35)</f>
        <v>411437107.21999979</v>
      </c>
      <c r="D36" s="325">
        <f t="shared" ref="D36:M36" si="7">SUM(D34:D35)</f>
        <v>201356682.32884204</v>
      </c>
      <c r="E36" s="325">
        <f t="shared" si="7"/>
        <v>45580981.747797921</v>
      </c>
      <c r="F36" s="325">
        <f t="shared" si="7"/>
        <v>50524960.111277401</v>
      </c>
      <c r="G36" s="325">
        <f t="shared" si="7"/>
        <v>33855974.089838803</v>
      </c>
      <c r="H36" s="325">
        <f t="shared" si="7"/>
        <v>23326083.887019835</v>
      </c>
      <c r="I36" s="325">
        <f t="shared" si="7"/>
        <v>12424085.589388542</v>
      </c>
      <c r="J36" s="325">
        <f t="shared" si="7"/>
        <v>9151807.2896194458</v>
      </c>
      <c r="K36" s="325">
        <f t="shared" si="7"/>
        <v>31333991.805173442</v>
      </c>
      <c r="L36" s="325">
        <f t="shared" si="7"/>
        <v>1407681.823295211</v>
      </c>
      <c r="M36" s="325">
        <f t="shared" si="7"/>
        <v>2474858.5477471058</v>
      </c>
    </row>
    <row r="37" spans="1:13" ht="13" x14ac:dyDescent="0.3">
      <c r="A37" s="317">
        <f t="shared" si="0"/>
        <v>31</v>
      </c>
      <c r="B37" s="317" t="s">
        <v>370</v>
      </c>
      <c r="C37" s="329">
        <f>C36/$C$36</f>
        <v>1</v>
      </c>
      <c r="D37" s="329">
        <f>D36/$C$36</f>
        <v>0.48939844947231387</v>
      </c>
      <c r="E37" s="329">
        <f t="shared" ref="E37:M37" si="8">E36/$C$36</f>
        <v>0.11078480999387663</v>
      </c>
      <c r="F37" s="329">
        <f t="shared" si="8"/>
        <v>0.12280117477167943</v>
      </c>
      <c r="G37" s="329">
        <f t="shared" si="8"/>
        <v>8.2287118725379457E-2</v>
      </c>
      <c r="H37" s="329">
        <f t="shared" si="8"/>
        <v>5.669416656321942E-2</v>
      </c>
      <c r="I37" s="329">
        <f t="shared" si="8"/>
        <v>3.0196803767495992E-2</v>
      </c>
      <c r="J37" s="329">
        <f t="shared" si="8"/>
        <v>2.2243514571294799E-2</v>
      </c>
      <c r="K37" s="329">
        <f t="shared" si="8"/>
        <v>7.615742784332484E-2</v>
      </c>
      <c r="L37" s="329">
        <f t="shared" si="8"/>
        <v>3.421377893711732E-3</v>
      </c>
      <c r="M37" s="329">
        <f t="shared" si="8"/>
        <v>6.0151563977037508E-3</v>
      </c>
    </row>
    <row r="38" spans="1:13" ht="13" x14ac:dyDescent="0.3">
      <c r="A38" s="317">
        <f t="shared" si="0"/>
        <v>32</v>
      </c>
      <c r="B38" s="318" t="s">
        <v>371</v>
      </c>
      <c r="C38" s="334">
        <f>F12</f>
        <v>-6821750.6579569057</v>
      </c>
      <c r="D38" s="325">
        <f>$C$38*D37</f>
        <v>-3338554.1946908464</v>
      </c>
      <c r="E38" s="325">
        <f t="shared" ref="E38:M38" si="9">$C$38*E37</f>
        <v>-755746.35046735872</v>
      </c>
      <c r="F38" s="325">
        <f t="shared" si="9"/>
        <v>-837718.99479658506</v>
      </c>
      <c r="G38" s="325">
        <f t="shared" si="9"/>
        <v>-561342.20630623528</v>
      </c>
      <c r="H38" s="325">
        <f t="shared" si="9"/>
        <v>-386753.46805496048</v>
      </c>
      <c r="I38" s="325">
        <f t="shared" si="9"/>
        <v>-205995.06596911134</v>
      </c>
      <c r="J38" s="325">
        <f t="shared" si="9"/>
        <v>-151739.71016200431</v>
      </c>
      <c r="K38" s="325">
        <f t="shared" si="9"/>
        <v>-519526.98349850677</v>
      </c>
      <c r="L38" s="325">
        <f t="shared" si="9"/>
        <v>-23339.786897547219</v>
      </c>
      <c r="M38" s="325">
        <f t="shared" si="9"/>
        <v>-41033.897113749255</v>
      </c>
    </row>
    <row r="39" spans="1:13" ht="13" x14ac:dyDescent="0.3">
      <c r="A39" s="317">
        <f t="shared" si="0"/>
        <v>33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</row>
    <row r="40" spans="1:13" ht="13.5" thickBot="1" x14ac:dyDescent="0.35">
      <c r="A40" s="317">
        <f t="shared" si="0"/>
        <v>34</v>
      </c>
      <c r="B40" s="337" t="s">
        <v>372</v>
      </c>
      <c r="C40" s="338">
        <f>C22+C30+C38</f>
        <v>-59245654.401226826</v>
      </c>
      <c r="D40" s="339">
        <f t="shared" ref="D40:M40" si="10">D22+D30+D38</f>
        <v>-37213839.197762474</v>
      </c>
      <c r="E40" s="339">
        <f t="shared" si="10"/>
        <v>-7353945.0095891152</v>
      </c>
      <c r="F40" s="339">
        <f t="shared" si="10"/>
        <v>-5910883.5062839342</v>
      </c>
      <c r="G40" s="339">
        <f t="shared" si="10"/>
        <v>-2809135.0307464381</v>
      </c>
      <c r="H40" s="339">
        <f t="shared" si="10"/>
        <v>-2792471.4024706297</v>
      </c>
      <c r="I40" s="339">
        <f t="shared" si="10"/>
        <v>-884260.47972413455</v>
      </c>
      <c r="J40" s="339">
        <f t="shared" si="10"/>
        <v>-394043.59152337583</v>
      </c>
      <c r="K40" s="339">
        <f t="shared" si="10"/>
        <v>-662170.16736170603</v>
      </c>
      <c r="L40" s="339">
        <f t="shared" si="10"/>
        <v>-1138965.9893680294</v>
      </c>
      <c r="M40" s="339">
        <f t="shared" si="10"/>
        <v>-85940.026397003501</v>
      </c>
    </row>
    <row r="41" spans="1:13" ht="13.5" thickTop="1" x14ac:dyDescent="0.3">
      <c r="A41" s="317">
        <f t="shared" si="0"/>
        <v>35</v>
      </c>
      <c r="B41" s="318" t="s">
        <v>373</v>
      </c>
      <c r="C41" s="318"/>
      <c r="D41" s="328">
        <v>33164734.139871296</v>
      </c>
      <c r="E41" s="328">
        <v>6555992.1966490224</v>
      </c>
      <c r="F41" s="328">
        <v>5262939.8818881419</v>
      </c>
      <c r="G41" s="328">
        <v>2488916.6792007494</v>
      </c>
      <c r="H41" s="328">
        <v>2487972.7236607396</v>
      </c>
      <c r="I41" s="328">
        <v>779469.43138310441</v>
      </c>
      <c r="J41" s="328">
        <v>342725.63252220961</v>
      </c>
      <c r="K41" s="328">
        <v>593008.04035318794</v>
      </c>
      <c r="L41" s="328">
        <v>1023122.48404832</v>
      </c>
      <c r="M41" s="328">
        <v>76842.129733220121</v>
      </c>
    </row>
    <row r="42" spans="1:13" ht="13" x14ac:dyDescent="0.3">
      <c r="A42" s="317">
        <f t="shared" si="0"/>
        <v>36</v>
      </c>
      <c r="B42" s="318" t="s">
        <v>374</v>
      </c>
      <c r="C42" s="318"/>
      <c r="D42" s="325">
        <f>D40-D41</f>
        <v>-70378573.337633774</v>
      </c>
      <c r="E42" s="325">
        <f t="shared" ref="E42:M42" si="11">E40-E41</f>
        <v>-13909937.206238138</v>
      </c>
      <c r="F42" s="325">
        <f t="shared" si="11"/>
        <v>-11173823.388172075</v>
      </c>
      <c r="G42" s="325">
        <f t="shared" si="11"/>
        <v>-5298051.7099471875</v>
      </c>
      <c r="H42" s="325">
        <f t="shared" si="11"/>
        <v>-5280444.1261313688</v>
      </c>
      <c r="I42" s="325">
        <f t="shared" si="11"/>
        <v>-1663729.9111072388</v>
      </c>
      <c r="J42" s="325">
        <f t="shared" si="11"/>
        <v>-736769.22404558538</v>
      </c>
      <c r="K42" s="325">
        <f t="shared" si="11"/>
        <v>-1255178.2077148939</v>
      </c>
      <c r="L42" s="325">
        <f t="shared" si="11"/>
        <v>-2162088.4734163494</v>
      </c>
      <c r="M42" s="325">
        <f t="shared" si="11"/>
        <v>-162782.15613022362</v>
      </c>
    </row>
    <row r="43" spans="1:13" ht="13" x14ac:dyDescent="0.3">
      <c r="A43" s="317">
        <f t="shared" si="0"/>
        <v>37</v>
      </c>
      <c r="B43" s="318"/>
      <c r="C43" s="318"/>
      <c r="D43" s="335"/>
      <c r="E43" s="318"/>
      <c r="F43" s="318"/>
      <c r="G43" s="318"/>
      <c r="H43" s="318"/>
      <c r="I43" s="318"/>
      <c r="J43" s="318"/>
      <c r="K43" s="318"/>
      <c r="L43" s="318"/>
      <c r="M43" s="318"/>
    </row>
    <row r="44" spans="1:13" ht="13" x14ac:dyDescent="0.3">
      <c r="A44" s="317">
        <f t="shared" si="0"/>
        <v>38</v>
      </c>
      <c r="B44" s="318" t="s">
        <v>375</v>
      </c>
      <c r="C44" s="318"/>
      <c r="D44" s="329">
        <f>D40/($C$40-$M$40)</f>
        <v>0.62904021074171257</v>
      </c>
      <c r="E44" s="329">
        <f t="shared" ref="E44:L44" si="12">E40/($C$40-$M$40)</f>
        <v>0.12430663479872944</v>
      </c>
      <c r="F44" s="329">
        <f t="shared" si="12"/>
        <v>9.9913996690943918E-2</v>
      </c>
      <c r="G44" s="329">
        <f t="shared" si="12"/>
        <v>4.7483918075534468E-2</v>
      </c>
      <c r="H44" s="329">
        <f t="shared" si="12"/>
        <v>4.7202246190335202E-2</v>
      </c>
      <c r="I44" s="329">
        <f t="shared" si="12"/>
        <v>1.4947003870261303E-2</v>
      </c>
      <c r="J44" s="329">
        <f t="shared" si="12"/>
        <v>6.6606743404262645E-3</v>
      </c>
      <c r="K44" s="329">
        <f t="shared" si="12"/>
        <v>1.1192923670426541E-2</v>
      </c>
      <c r="L44" s="329">
        <f t="shared" si="12"/>
        <v>1.9252391621630539E-2</v>
      </c>
      <c r="M44" s="318"/>
    </row>
    <row r="45" spans="1:13" ht="13" x14ac:dyDescent="0.3">
      <c r="A45" s="317">
        <f t="shared" si="0"/>
        <v>39</v>
      </c>
      <c r="B45" s="318" t="s">
        <v>388</v>
      </c>
      <c r="C45" s="318"/>
      <c r="D45" s="325">
        <f t="shared" ref="D45:L45" si="13">D44*$M$40</f>
        <v>-54059.73231591942</v>
      </c>
      <c r="E45" s="325">
        <f t="shared" si="13"/>
        <v>-10682.915475925482</v>
      </c>
      <c r="F45" s="325">
        <f t="shared" si="13"/>
        <v>-8586.6115130498401</v>
      </c>
      <c r="G45" s="325">
        <f t="shared" si="13"/>
        <v>-4080.7691728445839</v>
      </c>
      <c r="H45" s="325">
        <f t="shared" si="13"/>
        <v>-4056.5622835952654</v>
      </c>
      <c r="I45" s="325">
        <f t="shared" si="13"/>
        <v>-1284.5459071663699</v>
      </c>
      <c r="J45" s="325">
        <f t="shared" si="13"/>
        <v>-572.41852863807708</v>
      </c>
      <c r="K45" s="325">
        <f t="shared" si="13"/>
        <v>-961.92015569610226</v>
      </c>
      <c r="L45" s="325">
        <f t="shared" si="13"/>
        <v>-1654.5510441683775</v>
      </c>
      <c r="M45" s="318"/>
    </row>
    <row r="46" spans="1:13" ht="14" thickBot="1" x14ac:dyDescent="0.4">
      <c r="A46" s="317">
        <f t="shared" si="0"/>
        <v>40</v>
      </c>
      <c r="B46" s="340" t="s">
        <v>377</v>
      </c>
      <c r="C46" s="341">
        <f>SUM(D46:M46)</f>
        <v>-59245654.401226841</v>
      </c>
      <c r="D46" s="342">
        <f t="shared" ref="D46:L46" si="14">D40+D45</f>
        <v>-37267898.930078395</v>
      </c>
      <c r="E46" s="342">
        <f t="shared" si="14"/>
        <v>-7364627.9250650406</v>
      </c>
      <c r="F46" s="342">
        <f t="shared" si="14"/>
        <v>-5919470.1177969845</v>
      </c>
      <c r="G46" s="342">
        <f t="shared" si="14"/>
        <v>-2813215.7999192826</v>
      </c>
      <c r="H46" s="342">
        <f t="shared" si="14"/>
        <v>-2796527.9647542248</v>
      </c>
      <c r="I46" s="342">
        <f t="shared" si="14"/>
        <v>-885545.02563130087</v>
      </c>
      <c r="J46" s="342">
        <f t="shared" si="14"/>
        <v>-394616.01005201391</v>
      </c>
      <c r="K46" s="342">
        <f t="shared" si="14"/>
        <v>-663132.08751740213</v>
      </c>
      <c r="L46" s="342">
        <f t="shared" si="14"/>
        <v>-1140620.5404121978</v>
      </c>
      <c r="M46" s="342">
        <v>0</v>
      </c>
    </row>
    <row r="47" spans="1:13" ht="13" thickTop="1" x14ac:dyDescent="0.25"/>
  </sheetData>
  <mergeCells count="6">
    <mergeCell ref="C14:M14"/>
    <mergeCell ref="A1:M1"/>
    <mergeCell ref="A2:M2"/>
    <mergeCell ref="A3:M3"/>
    <mergeCell ref="A4:M4"/>
    <mergeCell ref="C5:F5"/>
  </mergeCells>
  <pageMargins left="0.7" right="0.7" top="0.75" bottom="0.75" header="0.3" footer="0.3"/>
  <pageSetup scale="59" orientation="landscape" r:id="rId1"/>
  <headerFooter>
    <oddHeader>&amp;R2014 Sales of Asset Filing
Advice 2014-xx
Page &amp;P of &amp;N</oddHeader>
    <oddFooter>&amp;L&amp;F
&amp;A&amp;R&amp;D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46"/>
  <sheetViews>
    <sheetView zoomScale="90" workbookViewId="0">
      <pane xSplit="2" ySplit="4" topLeftCell="C5" activePane="bottomRight" state="frozen"/>
      <selection activeCell="B24" sqref="B24"/>
      <selection pane="topRight" activeCell="B24" sqref="B24"/>
      <selection pane="bottomLeft" activeCell="B24" sqref="B24"/>
      <selection pane="bottomRight" activeCell="A46" sqref="A1:E46"/>
    </sheetView>
  </sheetViews>
  <sheetFormatPr defaultColWidth="9.1796875" defaultRowHeight="12.5" x14ac:dyDescent="0.25"/>
  <cols>
    <col min="1" max="1" width="31.81640625" style="6" bestFit="1" customWidth="1"/>
    <col min="2" max="2" width="11.7265625" style="7" bestFit="1" customWidth="1"/>
    <col min="3" max="3" width="21.81640625" style="66" bestFit="1" customWidth="1"/>
    <col min="4" max="4" width="17.1796875" style="6" bestFit="1" customWidth="1"/>
    <col min="5" max="5" width="16.81640625" style="6" bestFit="1" customWidth="1"/>
    <col min="6" max="6" width="9.1796875" style="6"/>
    <col min="7" max="7" width="16.1796875" style="6" bestFit="1" customWidth="1"/>
    <col min="8" max="8" width="13.26953125" style="6" bestFit="1" customWidth="1"/>
    <col min="9" max="9" width="15" style="6" bestFit="1" customWidth="1"/>
    <col min="10" max="16384" width="9.1796875" style="6"/>
  </cols>
  <sheetData>
    <row r="1" spans="1:5" x14ac:dyDescent="0.25">
      <c r="A1" s="70" t="str">
        <f>+'2014 Proposed Annual Impacts'!A1</f>
        <v>2014 Schedule 133</v>
      </c>
      <c r="B1" s="71"/>
      <c r="C1" s="72"/>
      <c r="D1" s="71"/>
      <c r="E1" s="73"/>
    </row>
    <row r="2" spans="1:5" x14ac:dyDescent="0.25">
      <c r="A2" s="74" t="str">
        <f>+'2014 Proposed Annual Impacts'!A2</f>
        <v>Sale of Asset Tracker</v>
      </c>
      <c r="B2" s="3"/>
      <c r="C2" s="75"/>
      <c r="D2" s="3"/>
      <c r="E2" s="76"/>
    </row>
    <row r="3" spans="1:5" x14ac:dyDescent="0.25">
      <c r="A3" s="255"/>
      <c r="B3" s="261"/>
      <c r="C3" s="248"/>
      <c r="D3" s="66"/>
      <c r="E3" s="254"/>
    </row>
    <row r="4" spans="1:5" s="18" customFormat="1" ht="50.5" thickBot="1" x14ac:dyDescent="0.3">
      <c r="A4" s="78" t="s">
        <v>84</v>
      </c>
      <c r="B4" s="79" t="s">
        <v>0</v>
      </c>
      <c r="C4" s="80" t="s">
        <v>390</v>
      </c>
      <c r="D4" s="345" t="s">
        <v>392</v>
      </c>
      <c r="E4" s="346" t="s">
        <v>382</v>
      </c>
    </row>
    <row r="5" spans="1:5" s="18" customFormat="1" ht="25.5" thickBot="1" x14ac:dyDescent="0.3">
      <c r="A5" s="81"/>
      <c r="C5" s="82" t="s">
        <v>23</v>
      </c>
      <c r="D5" s="82" t="s">
        <v>24</v>
      </c>
      <c r="E5" s="344" t="s">
        <v>391</v>
      </c>
    </row>
    <row r="6" spans="1:5" x14ac:dyDescent="0.25">
      <c r="A6" s="84"/>
      <c r="B6" s="85"/>
      <c r="C6" s="86"/>
      <c r="D6" s="87"/>
      <c r="E6" s="88"/>
    </row>
    <row r="7" spans="1:5" x14ac:dyDescent="0.25">
      <c r="A7" s="89" t="s">
        <v>1</v>
      </c>
      <c r="B7" s="284">
        <v>7</v>
      </c>
      <c r="C7" s="103">
        <f>'Delivered Loads by Tariff'!D6</f>
        <v>1279932000</v>
      </c>
      <c r="D7" s="67">
        <f>'Allocation of Proceeds'!D46</f>
        <v>-37267898.930078395</v>
      </c>
      <c r="E7" s="343">
        <f>ROUND(D7/C7*100,4)</f>
        <v>-2.9117000000000002</v>
      </c>
    </row>
    <row r="8" spans="1:5" x14ac:dyDescent="0.25">
      <c r="A8" s="89"/>
      <c r="B8" s="284"/>
      <c r="C8" s="103"/>
      <c r="D8" s="67"/>
      <c r="E8" s="343"/>
    </row>
    <row r="9" spans="1:5" x14ac:dyDescent="0.25">
      <c r="A9" s="90" t="s">
        <v>62</v>
      </c>
      <c r="B9" s="315" t="s">
        <v>334</v>
      </c>
      <c r="C9" s="103">
        <f>'Delivered Loads by Tariff'!D7</f>
        <v>249848000</v>
      </c>
      <c r="D9" s="67">
        <f>'Allocation of Proceeds'!E46</f>
        <v>-7364627.9250650406</v>
      </c>
      <c r="E9" s="343">
        <f>ROUND(D9/C9*100,4)</f>
        <v>-2.9476</v>
      </c>
    </row>
    <row r="10" spans="1:5" x14ac:dyDescent="0.25">
      <c r="A10" s="90" t="s">
        <v>63</v>
      </c>
      <c r="B10" s="316" t="s">
        <v>335</v>
      </c>
      <c r="C10" s="103">
        <f>'Delivered Loads by Tariff'!D8</f>
        <v>264129000</v>
      </c>
      <c r="D10" s="67">
        <f>'Allocation of Proceeds'!$F$46*C10/SUM(C$10+C$12)</f>
        <v>-5910318.0743167326</v>
      </c>
      <c r="E10" s="343">
        <f>ROUND(D10/C10*100,4)</f>
        <v>-2.2376999999999998</v>
      </c>
    </row>
    <row r="11" spans="1:5" x14ac:dyDescent="0.25">
      <c r="A11" s="90" t="s">
        <v>64</v>
      </c>
      <c r="B11" s="316" t="s">
        <v>336</v>
      </c>
      <c r="C11" s="103">
        <f>'Delivered Loads by Tariff'!D9</f>
        <v>166987000</v>
      </c>
      <c r="D11" s="67">
        <f>'Allocation of Proceeds'!G46</f>
        <v>-2813215.7999192826</v>
      </c>
      <c r="E11" s="343">
        <f>ROUND(D11/C11*100,4)</f>
        <v>-1.6847000000000001</v>
      </c>
    </row>
    <row r="12" spans="1:5" x14ac:dyDescent="0.25">
      <c r="A12" s="91" t="s">
        <v>65</v>
      </c>
      <c r="B12" s="284">
        <v>29</v>
      </c>
      <c r="C12" s="103">
        <f>'Delivered Loads by Tariff'!D10</f>
        <v>409000</v>
      </c>
      <c r="D12" s="67">
        <f>'Allocation of Proceeds'!$F$46*C12/SUM(C$10+C$12)</f>
        <v>-9152.0434802522395</v>
      </c>
      <c r="E12" s="343">
        <f>ROUND(D12/C12*100,4)</f>
        <v>-2.2376999999999998</v>
      </c>
    </row>
    <row r="13" spans="1:5" x14ac:dyDescent="0.25">
      <c r="A13" s="89"/>
      <c r="B13" s="284"/>
      <c r="C13" s="103"/>
      <c r="D13" s="67"/>
      <c r="E13" s="343"/>
    </row>
    <row r="14" spans="1:5" x14ac:dyDescent="0.25">
      <c r="A14" s="89" t="s">
        <v>66</v>
      </c>
      <c r="B14" s="284"/>
      <c r="C14" s="103">
        <f>SUM(C9:C13)</f>
        <v>681373000</v>
      </c>
      <c r="D14" s="67">
        <f>SUM(D9:D12)</f>
        <v>-16097313.842781309</v>
      </c>
      <c r="E14" s="343">
        <f>D14/C14*100</f>
        <v>-2.3624819067942679</v>
      </c>
    </row>
    <row r="15" spans="1:5" x14ac:dyDescent="0.25">
      <c r="A15" s="89"/>
      <c r="B15" s="284"/>
      <c r="C15" s="103"/>
      <c r="D15" s="67"/>
      <c r="E15" s="343"/>
    </row>
    <row r="16" spans="1:5" x14ac:dyDescent="0.25">
      <c r="A16" s="90" t="s">
        <v>67</v>
      </c>
      <c r="B16" s="316" t="s">
        <v>380</v>
      </c>
      <c r="C16" s="103">
        <f>'Delivered Loads by Tariff'!D11</f>
        <v>143882000</v>
      </c>
      <c r="D16" s="67">
        <f>'Allocation of Proceeds'!$H$46*C16/SUM(C$16:C$18)</f>
        <v>-2500839.2893754109</v>
      </c>
      <c r="E16" s="343">
        <f>ROUND(D16/C16*100,4)</f>
        <v>-1.7381</v>
      </c>
    </row>
    <row r="17" spans="1:8" x14ac:dyDescent="0.25">
      <c r="A17" s="91" t="s">
        <v>68</v>
      </c>
      <c r="B17" s="284">
        <v>35</v>
      </c>
      <c r="C17" s="103">
        <f>'Delivered Loads by Tariff'!D12</f>
        <v>5000</v>
      </c>
      <c r="D17" s="67">
        <f>'Allocation of Proceeds'!$H$46*C17/SUM(C$16:C$18)</f>
        <v>-86.905912114629032</v>
      </c>
      <c r="E17" s="343">
        <f>ROUND(D17/C17*100,4)</f>
        <v>-1.7381</v>
      </c>
    </row>
    <row r="18" spans="1:8" x14ac:dyDescent="0.25">
      <c r="A18" s="91" t="s">
        <v>69</v>
      </c>
      <c r="B18" s="284">
        <v>43</v>
      </c>
      <c r="C18" s="103">
        <f>'Delivered Loads by Tariff'!D14</f>
        <v>17007000</v>
      </c>
      <c r="D18" s="67">
        <f>'Allocation of Proceeds'!$H$46*C18/SUM(C$16:C$18)</f>
        <v>-295601.76946669922</v>
      </c>
      <c r="E18" s="343">
        <f>ROUND(D18/C18*100,4)</f>
        <v>-1.7381</v>
      </c>
    </row>
    <row r="19" spans="1:8" x14ac:dyDescent="0.25">
      <c r="A19" s="90" t="s">
        <v>70</v>
      </c>
      <c r="B19" s="284">
        <v>449</v>
      </c>
      <c r="C19" s="103">
        <f>SUM(ROUND('Delivered Loads by Tariff'!F155,0),ROUND('Delivered Loads by Tariff'!F157,0))*1000</f>
        <v>9561000</v>
      </c>
      <c r="D19" s="67">
        <f>'Allocation of Proceeds'!$K$46*C19/(C$19+C$27)</f>
        <v>-36252.949823623589</v>
      </c>
      <c r="E19" s="343">
        <f>ROUND(D19/C19*100,4)</f>
        <v>-0.37919999999999998</v>
      </c>
    </row>
    <row r="20" spans="1:8" x14ac:dyDescent="0.25">
      <c r="A20" s="92"/>
      <c r="B20" s="284"/>
      <c r="C20" s="103"/>
      <c r="D20" s="67"/>
      <c r="E20" s="343"/>
    </row>
    <row r="21" spans="1:8" x14ac:dyDescent="0.25">
      <c r="A21" s="92" t="s">
        <v>71</v>
      </c>
      <c r="B21" s="284"/>
      <c r="C21" s="103">
        <f>SUM(C16:C20)</f>
        <v>170455000</v>
      </c>
      <c r="D21" s="67">
        <f>SUM(D16:D20)</f>
        <v>-2832780.9145778483</v>
      </c>
      <c r="E21" s="343">
        <f>D21/C21*100</f>
        <v>-1.6618937048357916</v>
      </c>
    </row>
    <row r="22" spans="1:8" x14ac:dyDescent="0.25">
      <c r="A22" s="92"/>
      <c r="B22" s="284"/>
      <c r="C22" s="103"/>
      <c r="D22" s="67"/>
      <c r="E22" s="343"/>
    </row>
    <row r="23" spans="1:8" x14ac:dyDescent="0.25">
      <c r="A23" s="89" t="s">
        <v>90</v>
      </c>
      <c r="B23" s="284">
        <v>40</v>
      </c>
      <c r="C23" s="103">
        <f>'Delivered Loads by Tariff'!D13</f>
        <v>57321000</v>
      </c>
      <c r="D23" s="67">
        <f>'Allocation of Proceeds'!I46</f>
        <v>-885545.02563130087</v>
      </c>
      <c r="E23" s="343">
        <f>ROUND(D23/C23*100,4)</f>
        <v>-1.5448999999999999</v>
      </c>
    </row>
    <row r="24" spans="1:8" x14ac:dyDescent="0.25">
      <c r="A24" s="92"/>
      <c r="B24" s="284"/>
      <c r="C24" s="103"/>
      <c r="D24" s="67"/>
      <c r="E24" s="343"/>
    </row>
    <row r="25" spans="1:8" x14ac:dyDescent="0.25">
      <c r="A25" s="91" t="s">
        <v>73</v>
      </c>
      <c r="B25" s="284">
        <v>46</v>
      </c>
      <c r="C25" s="103">
        <f>'Delivered Loads by Tariff'!D15</f>
        <v>3994000</v>
      </c>
      <c r="D25" s="67">
        <f>'Allocation of Proceeds'!$J$46*C25/SUM(C$25:C$26)</f>
        <v>-29735.422687867776</v>
      </c>
      <c r="E25" s="343">
        <f>ROUND(D25/C25*100,4)</f>
        <v>-0.74450000000000005</v>
      </c>
    </row>
    <row r="26" spans="1:8" x14ac:dyDescent="0.25">
      <c r="A26" s="90" t="s">
        <v>74</v>
      </c>
      <c r="B26" s="284">
        <v>49</v>
      </c>
      <c r="C26" s="103">
        <f>'Delivered Loads by Tariff'!D16</f>
        <v>49010000</v>
      </c>
      <c r="D26" s="67">
        <f>'Allocation of Proceeds'!$J$46*C26/SUM(C$25:C$26)</f>
        <v>-364880.58736414614</v>
      </c>
      <c r="E26" s="343">
        <f>ROUND(D26/C26*100,4)</f>
        <v>-0.74450000000000005</v>
      </c>
    </row>
    <row r="27" spans="1:8" x14ac:dyDescent="0.25">
      <c r="A27" s="90" t="s">
        <v>75</v>
      </c>
      <c r="B27" s="284">
        <v>449</v>
      </c>
      <c r="C27" s="103">
        <f>SUM(ROUND('Delivered Loads by Tariff'!F154,0),ROUND('Delivered Loads by Tariff'!F156,0))*1000</f>
        <v>165327000</v>
      </c>
      <c r="D27" s="67">
        <f>'Allocation of Proceeds'!$K$46*C27/(C$19+C$27)</f>
        <v>-626879.13769377861</v>
      </c>
      <c r="E27" s="343">
        <f>ROUND(D27/C27*100,4)</f>
        <v>-0.37919999999999998</v>
      </c>
    </row>
    <row r="28" spans="1:8" x14ac:dyDescent="0.25">
      <c r="A28" s="89"/>
      <c r="B28" s="284"/>
      <c r="C28" s="103"/>
      <c r="D28" s="67"/>
      <c r="E28" s="343"/>
    </row>
    <row r="29" spans="1:8" x14ac:dyDescent="0.25">
      <c r="A29" s="89" t="s">
        <v>76</v>
      </c>
      <c r="B29" s="284"/>
      <c r="C29" s="103">
        <f>SUM(C25:C28)</f>
        <v>218331000</v>
      </c>
      <c r="D29" s="67">
        <f>SUM(D25:D28)</f>
        <v>-1021495.1477457925</v>
      </c>
      <c r="E29" s="343">
        <f>D29/C29*100</f>
        <v>-0.46786537310129683</v>
      </c>
    </row>
    <row r="30" spans="1:8" x14ac:dyDescent="0.25">
      <c r="A30" s="89"/>
      <c r="B30" s="284"/>
      <c r="C30" s="103"/>
      <c r="D30" s="67"/>
      <c r="E30" s="343"/>
    </row>
    <row r="31" spans="1:8" x14ac:dyDescent="0.25">
      <c r="A31" s="89" t="s">
        <v>77</v>
      </c>
      <c r="B31" s="316" t="s">
        <v>337</v>
      </c>
      <c r="C31" s="103">
        <f>'Delivered Loads by Tariff'!D17</f>
        <v>6924000</v>
      </c>
      <c r="D31" s="67">
        <f>'Allocation of Proceeds'!L46</f>
        <v>-1140620.5404121978</v>
      </c>
      <c r="E31" s="343">
        <f>ROUND(D31/C31*100,4)</f>
        <v>-16.473400000000002</v>
      </c>
      <c r="G31" s="193"/>
      <c r="H31" s="194"/>
    </row>
    <row r="32" spans="1:8" x14ac:dyDescent="0.25">
      <c r="A32" s="89"/>
      <c r="B32" s="261"/>
      <c r="C32" s="103"/>
      <c r="D32" s="67"/>
      <c r="E32" s="254"/>
    </row>
    <row r="33" spans="1:7" x14ac:dyDescent="0.25">
      <c r="A33" s="92" t="s">
        <v>78</v>
      </c>
      <c r="B33" s="261"/>
      <c r="C33" s="103">
        <f>SUM(C7,C14,C21,C23,C29,C31)</f>
        <v>2414336000</v>
      </c>
      <c r="D33" s="67">
        <f>SUM(D7,D14,D21,D23,D29,D31)</f>
        <v>-59245654.401226848</v>
      </c>
      <c r="E33" s="343">
        <f>D33/C33*100</f>
        <v>-2.4539109055751496</v>
      </c>
    </row>
    <row r="34" spans="1:7" ht="13" thickBot="1" x14ac:dyDescent="0.3">
      <c r="A34" s="93"/>
      <c r="B34" s="258"/>
      <c r="C34" s="104"/>
      <c r="D34" s="94"/>
      <c r="E34" s="95"/>
    </row>
    <row r="35" spans="1:7" x14ac:dyDescent="0.25">
      <c r="C35" s="103"/>
    </row>
    <row r="36" spans="1:7" x14ac:dyDescent="0.25">
      <c r="A36" s="6" t="s">
        <v>79</v>
      </c>
      <c r="C36" s="103">
        <f>'Delivered Loads by Tariff'!D18</f>
        <v>1046000</v>
      </c>
      <c r="G36" s="193"/>
    </row>
    <row r="37" spans="1:7" x14ac:dyDescent="0.25">
      <c r="C37" s="103"/>
      <c r="D37" s="106"/>
      <c r="G37" s="193"/>
    </row>
    <row r="38" spans="1:7" x14ac:dyDescent="0.25">
      <c r="A38" s="6" t="s">
        <v>80</v>
      </c>
      <c r="C38" s="103">
        <f>+C36+C33</f>
        <v>2415382000</v>
      </c>
      <c r="G38" s="193"/>
    </row>
    <row r="39" spans="1:7" x14ac:dyDescent="0.25">
      <c r="C39" s="103"/>
      <c r="G39" s="193"/>
    </row>
    <row r="40" spans="1:7" x14ac:dyDescent="0.25">
      <c r="A40" s="6" t="s">
        <v>81</v>
      </c>
      <c r="C40" s="103">
        <f>'Delivered Loads by Tariff'!D20</f>
        <v>2415382000</v>
      </c>
      <c r="G40" s="193"/>
    </row>
    <row r="41" spans="1:7" x14ac:dyDescent="0.25">
      <c r="C41" s="103"/>
      <c r="G41" s="193"/>
    </row>
    <row r="42" spans="1:7" x14ac:dyDescent="0.25">
      <c r="A42" s="6" t="s">
        <v>82</v>
      </c>
      <c r="C42" s="103">
        <f>+C40-C38</f>
        <v>0</v>
      </c>
      <c r="G42" s="193"/>
    </row>
    <row r="43" spans="1:7" x14ac:dyDescent="0.25">
      <c r="C43" s="103"/>
      <c r="G43" s="193"/>
    </row>
    <row r="44" spans="1:7" x14ac:dyDescent="0.25">
      <c r="C44" s="103"/>
      <c r="G44" s="193"/>
    </row>
    <row r="45" spans="1:7" x14ac:dyDescent="0.25">
      <c r="A45" s="105" t="str">
        <f>+'2014 Proposed Annual Impacts'!A47</f>
        <v>Note 1 - Includes Unbilled kWh</v>
      </c>
      <c r="C45" s="103"/>
      <c r="G45" s="193"/>
    </row>
    <row r="46" spans="1:7" ht="28.5" customHeight="1" x14ac:dyDescent="0.25">
      <c r="A46" s="351" t="s">
        <v>393</v>
      </c>
      <c r="B46" s="352"/>
      <c r="C46" s="352"/>
      <c r="D46" s="352"/>
      <c r="E46" s="352"/>
    </row>
  </sheetData>
  <mergeCells count="1">
    <mergeCell ref="A46:E46"/>
  </mergeCells>
  <phoneticPr fontId="2" type="noConversion"/>
  <printOptions horizontalCentered="1"/>
  <pageMargins left="0.7" right="0.7" top="0.75" bottom="0.75" header="0.3" footer="0.3"/>
  <pageSetup scale="77" orientation="landscape" horizontalDpi="1200" verticalDpi="1200" r:id="rId1"/>
  <headerFooter alignWithMargins="0">
    <oddHeader>&amp;R2014 Sales of Asset Filing
Advice 2014-xx
Page &amp;P of &amp;N</oddHeader>
    <oddFooter>&amp;L&amp;F
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92"/>
  <sheetViews>
    <sheetView zoomScale="90" workbookViewId="0">
      <pane xSplit="2" ySplit="6" topLeftCell="C22" activePane="bottomRight" state="frozen"/>
      <selection sqref="A1:O21"/>
      <selection pane="topRight" sqref="A1:O21"/>
      <selection pane="bottomLeft" sqref="A1:O21"/>
      <selection pane="bottomRight" activeCell="G45" sqref="G45"/>
    </sheetView>
  </sheetViews>
  <sheetFormatPr defaultColWidth="9.1796875" defaultRowHeight="12.5" x14ac:dyDescent="0.25"/>
  <cols>
    <col min="1" max="1" width="31.81640625" style="4" bestFit="1" customWidth="1"/>
    <col min="2" max="2" width="11.7265625" style="49" bestFit="1" customWidth="1"/>
    <col min="3" max="3" width="16.7265625" style="50" customWidth="1"/>
    <col min="4" max="4" width="17.7265625" style="50" customWidth="1"/>
    <col min="5" max="5" width="13.26953125" style="4" bestFit="1" customWidth="1"/>
    <col min="6" max="6" width="12.81640625" style="4" bestFit="1" customWidth="1"/>
    <col min="7" max="7" width="12.81640625" style="4" customWidth="1"/>
    <col min="8" max="8" width="16.1796875" style="50" bestFit="1" customWidth="1"/>
    <col min="9" max="9" width="16.81640625" style="4" bestFit="1" customWidth="1"/>
    <col min="10" max="10" width="13.54296875" style="4" bestFit="1" customWidth="1"/>
    <col min="11" max="11" width="9.1796875" style="4"/>
    <col min="12" max="13" width="9.81640625" style="4" bestFit="1" customWidth="1"/>
    <col min="14" max="14" width="6.81640625" style="4" bestFit="1" customWidth="1"/>
    <col min="15" max="16" width="14" style="4" bestFit="1" customWidth="1"/>
    <col min="17" max="16384" width="9.1796875" style="4"/>
  </cols>
  <sheetData>
    <row r="1" spans="1:10" x14ac:dyDescent="0.25">
      <c r="A1" s="35" t="s">
        <v>378</v>
      </c>
      <c r="B1" s="36"/>
      <c r="C1" s="37"/>
      <c r="D1" s="37"/>
      <c r="E1" s="36"/>
      <c r="F1" s="36"/>
      <c r="G1" s="36"/>
      <c r="H1" s="37"/>
      <c r="I1" s="36"/>
      <c r="J1" s="38"/>
    </row>
    <row r="2" spans="1:10" x14ac:dyDescent="0.25">
      <c r="A2" s="39" t="s">
        <v>379</v>
      </c>
      <c r="B2" s="40"/>
      <c r="C2" s="41"/>
      <c r="D2" s="41"/>
      <c r="E2" s="40"/>
      <c r="F2" s="40"/>
      <c r="G2" s="40"/>
      <c r="H2" s="41"/>
      <c r="I2" s="40"/>
      <c r="J2" s="42"/>
    </row>
    <row r="3" spans="1:10" x14ac:dyDescent="0.25">
      <c r="A3" s="39" t="s">
        <v>83</v>
      </c>
      <c r="B3" s="40"/>
      <c r="C3" s="41"/>
      <c r="D3" s="41"/>
      <c r="E3" s="40"/>
      <c r="F3" s="40"/>
      <c r="G3" s="40"/>
      <c r="H3" s="41"/>
      <c r="I3" s="40"/>
      <c r="J3" s="42"/>
    </row>
    <row r="4" spans="1:10" x14ac:dyDescent="0.25">
      <c r="A4" s="39" t="s">
        <v>232</v>
      </c>
      <c r="B4" s="40"/>
      <c r="C4" s="41"/>
      <c r="D4" s="41"/>
      <c r="E4" s="40"/>
      <c r="F4" s="40"/>
      <c r="G4" s="40"/>
      <c r="H4" s="41"/>
      <c r="I4" s="40"/>
      <c r="J4" s="42"/>
    </row>
    <row r="5" spans="1:10" x14ac:dyDescent="0.25">
      <c r="A5" s="39"/>
      <c r="B5" s="40"/>
      <c r="C5" s="41"/>
      <c r="D5" s="41"/>
      <c r="E5" s="40"/>
      <c r="F5" s="40"/>
      <c r="G5" s="40"/>
      <c r="H5" s="41"/>
      <c r="I5" s="40"/>
      <c r="J5" s="42"/>
    </row>
    <row r="6" spans="1:10" s="48" customFormat="1" ht="63" thickBot="1" x14ac:dyDescent="0.3">
      <c r="A6" s="43" t="s">
        <v>84</v>
      </c>
      <c r="B6" s="44" t="s">
        <v>0</v>
      </c>
      <c r="C6" s="45" t="str">
        <f>'2014 Rates'!C4</f>
        <v>Forecast kWh
Dec 2014 (Note 1)</v>
      </c>
      <c r="D6" s="45" t="s">
        <v>231</v>
      </c>
      <c r="E6" s="46" t="s">
        <v>381</v>
      </c>
      <c r="F6" s="46" t="s">
        <v>382</v>
      </c>
      <c r="G6" s="46" t="s">
        <v>96</v>
      </c>
      <c r="H6" s="45" t="s">
        <v>383</v>
      </c>
      <c r="I6" s="46" t="s">
        <v>85</v>
      </c>
      <c r="J6" s="47" t="s">
        <v>86</v>
      </c>
    </row>
    <row r="7" spans="1:10" s="48" customFormat="1" ht="25.5" thickBot="1" x14ac:dyDescent="0.3">
      <c r="A7" s="43"/>
      <c r="B7" s="44"/>
      <c r="C7" s="68" t="s">
        <v>23</v>
      </c>
      <c r="D7" s="68" t="s">
        <v>24</v>
      </c>
      <c r="E7" s="44" t="s">
        <v>25</v>
      </c>
      <c r="F7" s="44" t="s">
        <v>61</v>
      </c>
      <c r="G7" s="46" t="s">
        <v>93</v>
      </c>
      <c r="H7" s="45" t="s">
        <v>94</v>
      </c>
      <c r="I7" s="347" t="s">
        <v>394</v>
      </c>
      <c r="J7" s="346" t="s">
        <v>395</v>
      </c>
    </row>
    <row r="8" spans="1:10" x14ac:dyDescent="0.25">
      <c r="A8" s="69"/>
      <c r="J8" s="51"/>
    </row>
    <row r="9" spans="1:10" x14ac:dyDescent="0.25">
      <c r="A9" s="52" t="s">
        <v>1</v>
      </c>
      <c r="B9" s="49">
        <v>7</v>
      </c>
      <c r="C9" s="101">
        <f>'2014 Rates'!C7</f>
        <v>1279932000</v>
      </c>
      <c r="D9" s="102">
        <f>+'Estimated Proforma Base Revenue'!H10</f>
        <v>1164475000</v>
      </c>
      <c r="E9" s="54">
        <v>0</v>
      </c>
      <c r="F9" s="54">
        <f>ROUND(+'2014 Rates'!E7,4)</f>
        <v>-2.9117000000000002</v>
      </c>
      <c r="G9" s="54">
        <f>F9-E9</f>
        <v>-2.9117000000000002</v>
      </c>
      <c r="H9" s="53">
        <f>+E9*C9/100+D9</f>
        <v>1164475000</v>
      </c>
      <c r="I9" s="53">
        <f>G9*C9/100</f>
        <v>-37267780.044</v>
      </c>
      <c r="J9" s="55">
        <f>IF(H9&gt;0,+I9/H9,0)</f>
        <v>-3.2003933140685718E-2</v>
      </c>
    </row>
    <row r="10" spans="1:10" x14ac:dyDescent="0.25">
      <c r="A10" s="52"/>
      <c r="C10" s="101"/>
      <c r="D10" s="102"/>
      <c r="E10" s="54"/>
      <c r="F10" s="54"/>
      <c r="G10" s="54" t="s">
        <v>91</v>
      </c>
      <c r="H10" s="53"/>
      <c r="I10" s="53"/>
      <c r="J10" s="55"/>
    </row>
    <row r="11" spans="1:10" x14ac:dyDescent="0.25">
      <c r="A11" s="56" t="s">
        <v>62</v>
      </c>
      <c r="B11" s="315" t="s">
        <v>334</v>
      </c>
      <c r="C11" s="101">
        <f>'2014 Rates'!C9</f>
        <v>249848000</v>
      </c>
      <c r="D11" s="102">
        <f>+'Estimated Proforma Base Revenue'!H14</f>
        <v>270984000</v>
      </c>
      <c r="E11" s="54">
        <v>0</v>
      </c>
      <c r="F11" s="54">
        <f>ROUND(+'2014 Rates'!E9,4)</f>
        <v>-2.9476</v>
      </c>
      <c r="G11" s="54">
        <f t="shared" ref="G11:G35" si="0">F11-E11</f>
        <v>-2.9476</v>
      </c>
      <c r="H11" s="53">
        <f>+E11*C11/100+D11</f>
        <v>270984000</v>
      </c>
      <c r="I11" s="53">
        <f>G11*C11/100</f>
        <v>-7364519.6479999991</v>
      </c>
      <c r="J11" s="55">
        <f>IF(H11&gt;0,+I11/H11,0)</f>
        <v>-2.717695379801021E-2</v>
      </c>
    </row>
    <row r="12" spans="1:10" x14ac:dyDescent="0.25">
      <c r="A12" s="57" t="s">
        <v>63</v>
      </c>
      <c r="B12" s="316" t="s">
        <v>335</v>
      </c>
      <c r="C12" s="101">
        <f>'2014 Rates'!C10</f>
        <v>264129000</v>
      </c>
      <c r="D12" s="102">
        <f>+'Estimated Proforma Base Revenue'!H15-1000</f>
        <v>280901000</v>
      </c>
      <c r="E12" s="54">
        <v>0</v>
      </c>
      <c r="F12" s="54">
        <f>ROUND(+'2014 Rates'!E10,4)</f>
        <v>-2.2376999999999998</v>
      </c>
      <c r="G12" s="54">
        <f t="shared" si="0"/>
        <v>-2.2376999999999998</v>
      </c>
      <c r="H12" s="53">
        <f>+E12*C12/100+D12</f>
        <v>280901000</v>
      </c>
      <c r="I12" s="53">
        <f>G12*C12/100</f>
        <v>-5910414.6329999994</v>
      </c>
      <c r="J12" s="55">
        <f>IF(H12&gt;0,+I12/H12,0)</f>
        <v>-2.1040917024147295E-2</v>
      </c>
    </row>
    <row r="13" spans="1:10" x14ac:dyDescent="0.25">
      <c r="A13" s="57" t="s">
        <v>64</v>
      </c>
      <c r="B13" s="316" t="s">
        <v>336</v>
      </c>
      <c r="C13" s="101">
        <f>'2014 Rates'!C11</f>
        <v>166987000</v>
      </c>
      <c r="D13" s="102">
        <f>+'Estimated Proforma Base Revenue'!H16</f>
        <v>164915000</v>
      </c>
      <c r="E13" s="54">
        <v>0</v>
      </c>
      <c r="F13" s="54">
        <f>ROUND(+'2014 Rates'!E11,4)</f>
        <v>-1.6847000000000001</v>
      </c>
      <c r="G13" s="54">
        <f t="shared" si="0"/>
        <v>-1.6847000000000001</v>
      </c>
      <c r="H13" s="53">
        <f>+E13*C13/100+D13</f>
        <v>164915000</v>
      </c>
      <c r="I13" s="53">
        <f>G13*C13/100</f>
        <v>-2813229.9890000005</v>
      </c>
      <c r="J13" s="55">
        <f>IF(H13&gt;0,+I13/H13,0)</f>
        <v>-1.705866651911591E-2</v>
      </c>
    </row>
    <row r="14" spans="1:10" x14ac:dyDescent="0.25">
      <c r="A14" s="57" t="s">
        <v>65</v>
      </c>
      <c r="B14" s="49">
        <v>29</v>
      </c>
      <c r="C14" s="101">
        <f>'2014 Rates'!C12</f>
        <v>409000</v>
      </c>
      <c r="D14" s="102">
        <f>+'Estimated Proforma Base Revenue'!H17</f>
        <v>1286000</v>
      </c>
      <c r="E14" s="54">
        <v>0</v>
      </c>
      <c r="F14" s="54">
        <f>ROUND(+'2014 Rates'!E12,4)</f>
        <v>-2.2376999999999998</v>
      </c>
      <c r="G14" s="54">
        <f t="shared" si="0"/>
        <v>-2.2376999999999998</v>
      </c>
      <c r="H14" s="53">
        <f>+E14*C14/100+D14</f>
        <v>1286000</v>
      </c>
      <c r="I14" s="53">
        <f>G14*C14/100</f>
        <v>-9152.1929999999993</v>
      </c>
      <c r="J14" s="55">
        <f>IF(H14&gt;0,+I14/H14,0)</f>
        <v>-7.1167908242612751E-3</v>
      </c>
    </row>
    <row r="15" spans="1:10" x14ac:dyDescent="0.25">
      <c r="A15" s="52"/>
      <c r="C15" s="101"/>
      <c r="D15" s="102"/>
      <c r="E15" s="54"/>
      <c r="F15" s="54"/>
      <c r="G15" s="54" t="s">
        <v>91</v>
      </c>
      <c r="H15" s="53"/>
      <c r="I15" s="53"/>
      <c r="J15" s="55"/>
    </row>
    <row r="16" spans="1:10" x14ac:dyDescent="0.25">
      <c r="A16" s="52" t="s">
        <v>66</v>
      </c>
      <c r="C16" s="101">
        <f>SUM(C11:C15)</f>
        <v>681373000</v>
      </c>
      <c r="D16" s="102">
        <f>SUM(D11:D15)</f>
        <v>718086000</v>
      </c>
      <c r="E16" s="54">
        <v>0</v>
      </c>
      <c r="F16" s="54">
        <f>'2014 Rates'!E14</f>
        <v>-2.3624819067942679</v>
      </c>
      <c r="G16" s="54">
        <f t="shared" si="0"/>
        <v>-2.3624819067942679</v>
      </c>
      <c r="H16" s="53">
        <f>SUM(H11:H15)</f>
        <v>718086000</v>
      </c>
      <c r="I16" s="53">
        <f>SUM(I11:I14)</f>
        <v>-16097316.463</v>
      </c>
      <c r="J16" s="55">
        <f>IF(H16&gt;0,+I16/H16,0)</f>
        <v>-2.2416975770311633E-2</v>
      </c>
    </row>
    <row r="17" spans="1:10" x14ac:dyDescent="0.25">
      <c r="A17" s="52"/>
      <c r="C17" s="101"/>
      <c r="D17" s="102"/>
      <c r="E17" s="54"/>
      <c r="F17" s="54"/>
      <c r="G17" s="54" t="s">
        <v>91</v>
      </c>
      <c r="H17" s="53"/>
      <c r="I17" s="53"/>
      <c r="J17" s="55"/>
    </row>
    <row r="18" spans="1:10" x14ac:dyDescent="0.25">
      <c r="A18" s="57" t="s">
        <v>67</v>
      </c>
      <c r="B18" s="316" t="s">
        <v>380</v>
      </c>
      <c r="C18" s="101">
        <f>'2014 Rates'!C16</f>
        <v>143882000</v>
      </c>
      <c r="D18" s="102">
        <f>+'Estimated Proforma Base Revenue'!H21</f>
        <v>111882000</v>
      </c>
      <c r="E18" s="54">
        <v>0</v>
      </c>
      <c r="F18" s="54">
        <f>ROUND(+'2014 Rates'!E16,4)</f>
        <v>-1.7381</v>
      </c>
      <c r="G18" s="54">
        <f t="shared" si="0"/>
        <v>-1.7381</v>
      </c>
      <c r="H18" s="53">
        <f>+E18*C18/100+D18</f>
        <v>111882000</v>
      </c>
      <c r="I18" s="53">
        <f>G18*C18/100</f>
        <v>-2500813.0419999999</v>
      </c>
      <c r="J18" s="55">
        <f>IF(H18&gt;0,+I18/H18,0)</f>
        <v>-2.2352237553851378E-2</v>
      </c>
    </row>
    <row r="19" spans="1:10" x14ac:dyDescent="0.25">
      <c r="A19" s="57" t="s">
        <v>68</v>
      </c>
      <c r="B19" s="49">
        <v>35</v>
      </c>
      <c r="C19" s="101">
        <f>'2014 Rates'!C17</f>
        <v>5000</v>
      </c>
      <c r="D19" s="102">
        <f>+'Estimated Proforma Base Revenue'!H22</f>
        <v>265000</v>
      </c>
      <c r="E19" s="54">
        <v>0</v>
      </c>
      <c r="F19" s="54">
        <f>ROUND(+'2014 Rates'!E17,4)</f>
        <v>-1.7381</v>
      </c>
      <c r="G19" s="54">
        <f t="shared" si="0"/>
        <v>-1.7381</v>
      </c>
      <c r="H19" s="53">
        <f>+E19*C19/100+D19</f>
        <v>265000</v>
      </c>
      <c r="I19" s="53">
        <f>G19*C19/100</f>
        <v>-86.905000000000001</v>
      </c>
      <c r="J19" s="55">
        <f>IF(H19&gt;0,+I19/H19,0)</f>
        <v>-3.279433962264151E-4</v>
      </c>
    </row>
    <row r="20" spans="1:10" x14ac:dyDescent="0.25">
      <c r="A20" s="57" t="s">
        <v>69</v>
      </c>
      <c r="B20" s="49">
        <v>43</v>
      </c>
      <c r="C20" s="101">
        <f>'2014 Rates'!C18</f>
        <v>17007000</v>
      </c>
      <c r="D20" s="102">
        <f>+'Estimated Proforma Base Revenue'!H23</f>
        <v>13595000</v>
      </c>
      <c r="E20" s="54">
        <v>0</v>
      </c>
      <c r="F20" s="54">
        <f>ROUND(+'2014 Rates'!E18,4)</f>
        <v>-1.7381</v>
      </c>
      <c r="G20" s="54">
        <f t="shared" si="0"/>
        <v>-1.7381</v>
      </c>
      <c r="H20" s="53">
        <f>+E20*C20/100+D20</f>
        <v>13595000</v>
      </c>
      <c r="I20" s="53">
        <f>G20*C20/100</f>
        <v>-295598.66700000002</v>
      </c>
      <c r="J20" s="55">
        <f>IF(H20&gt;0,+I20/H20,0)</f>
        <v>-2.1743189922765725E-2</v>
      </c>
    </row>
    <row r="21" spans="1:10" x14ac:dyDescent="0.25">
      <c r="A21" s="56" t="s">
        <v>89</v>
      </c>
      <c r="B21" s="49">
        <v>449</v>
      </c>
      <c r="C21" s="101">
        <f>'2014 Rates'!C19</f>
        <v>9561000</v>
      </c>
      <c r="D21" s="102">
        <f>ROUND(+(SUM(ROUND('Delivered Loads by Tariff'!P155,0),ROUND('Delivered Loads by Tariff'!P157,0))*1000)*'Estimated Proforma Base Revenue'!F35/1000,0)*1000</f>
        <v>391000</v>
      </c>
      <c r="E21" s="54">
        <v>0</v>
      </c>
      <c r="F21" s="54">
        <f>ROUND(+'2014 Rates'!E19,4)</f>
        <v>-0.37919999999999998</v>
      </c>
      <c r="G21" s="54">
        <f t="shared" si="0"/>
        <v>-0.37919999999999998</v>
      </c>
      <c r="H21" s="53">
        <f>+E21*C21/100+D21</f>
        <v>391000</v>
      </c>
      <c r="I21" s="53">
        <f>G21*C21/100</f>
        <v>-36255.311999999998</v>
      </c>
      <c r="J21" s="55">
        <f>IF(H21&gt;0,+I21/H21,0)</f>
        <v>-9.2724583120204596E-2</v>
      </c>
    </row>
    <row r="22" spans="1:10" x14ac:dyDescent="0.25">
      <c r="A22" s="58"/>
      <c r="C22" s="101"/>
      <c r="D22" s="102"/>
      <c r="E22" s="54"/>
      <c r="F22" s="54"/>
      <c r="G22" s="54" t="s">
        <v>91</v>
      </c>
      <c r="H22" s="53"/>
      <c r="I22" s="53"/>
      <c r="J22" s="55"/>
    </row>
    <row r="23" spans="1:10" x14ac:dyDescent="0.25">
      <c r="A23" s="58" t="s">
        <v>71</v>
      </c>
      <c r="C23" s="101">
        <f>SUM(C18:C22)</f>
        <v>170455000</v>
      </c>
      <c r="D23" s="102">
        <f>SUM(D18:D22)</f>
        <v>126133000</v>
      </c>
      <c r="E23" s="54">
        <v>0</v>
      </c>
      <c r="F23" s="54">
        <f>'2014 Rates'!E21</f>
        <v>-1.6618937048357916</v>
      </c>
      <c r="G23" s="54">
        <f t="shared" si="0"/>
        <v>-1.6618937048357916</v>
      </c>
      <c r="H23" s="53">
        <f>SUM(H18:H21)</f>
        <v>126133000</v>
      </c>
      <c r="I23" s="53">
        <f>SUM(I18:I21)</f>
        <v>-2832753.9259999995</v>
      </c>
      <c r="J23" s="55">
        <f>IF(H23&gt;0,+I23/H23,0)</f>
        <v>-2.2458467855359023E-2</v>
      </c>
    </row>
    <row r="24" spans="1:10" x14ac:dyDescent="0.25">
      <c r="A24" s="58"/>
      <c r="C24" s="101"/>
      <c r="D24" s="102"/>
      <c r="E24" s="54"/>
      <c r="F24" s="54"/>
      <c r="G24" s="54" t="s">
        <v>91</v>
      </c>
      <c r="H24" s="53"/>
      <c r="I24" s="53"/>
      <c r="J24" s="55"/>
    </row>
    <row r="25" spans="1:10" x14ac:dyDescent="0.25">
      <c r="A25" s="52" t="s">
        <v>72</v>
      </c>
      <c r="B25" s="49">
        <v>40</v>
      </c>
      <c r="C25" s="101">
        <f>'2014 Rates'!C23</f>
        <v>57321000</v>
      </c>
      <c r="D25" s="102">
        <f>+'Estimated Proforma Base Revenue'!H26</f>
        <v>51691000</v>
      </c>
      <c r="E25" s="54">
        <v>0</v>
      </c>
      <c r="F25" s="54">
        <f>ROUND(+'2014 Rates'!E23,4)</f>
        <v>-1.5448999999999999</v>
      </c>
      <c r="G25" s="54">
        <f t="shared" si="0"/>
        <v>-1.5448999999999999</v>
      </c>
      <c r="H25" s="53">
        <f>+E25*C25/100+D25</f>
        <v>51691000</v>
      </c>
      <c r="I25" s="53">
        <f>G25*C25/100</f>
        <v>-885552.12899999996</v>
      </c>
      <c r="J25" s="55">
        <f>IF(H25&gt;0,+I25/H25,0)</f>
        <v>-1.7131650171209687E-2</v>
      </c>
    </row>
    <row r="26" spans="1:10" x14ac:dyDescent="0.25">
      <c r="A26" s="58"/>
      <c r="C26" s="101"/>
      <c r="D26" s="102"/>
      <c r="E26" s="54"/>
      <c r="F26" s="54"/>
      <c r="G26" s="54" t="s">
        <v>91</v>
      </c>
      <c r="H26" s="53"/>
      <c r="I26" s="53"/>
      <c r="J26" s="55"/>
    </row>
    <row r="27" spans="1:10" x14ac:dyDescent="0.25">
      <c r="A27" s="57" t="s">
        <v>73</v>
      </c>
      <c r="B27" s="49">
        <v>46</v>
      </c>
      <c r="C27" s="101">
        <f>'2014 Rates'!C25</f>
        <v>3994000</v>
      </c>
      <c r="D27" s="102">
        <f>+'Estimated Proforma Base Revenue'!H29</f>
        <v>3979000</v>
      </c>
      <c r="E27" s="54">
        <v>0</v>
      </c>
      <c r="F27" s="54">
        <f>ROUND(+'2014 Rates'!E25,4)</f>
        <v>-0.74450000000000005</v>
      </c>
      <c r="G27" s="54">
        <f t="shared" si="0"/>
        <v>-0.74450000000000005</v>
      </c>
      <c r="H27" s="53">
        <f>+E27*C27/100+D27</f>
        <v>3979000</v>
      </c>
      <c r="I27" s="53">
        <f>G27*C27/100</f>
        <v>-29735.33</v>
      </c>
      <c r="J27" s="55">
        <f>IF(H27&gt;0,+I27/H27,0)</f>
        <v>-7.4730660970092995E-3</v>
      </c>
    </row>
    <row r="28" spans="1:10" x14ac:dyDescent="0.25">
      <c r="A28" s="56" t="s">
        <v>74</v>
      </c>
      <c r="B28" s="49">
        <v>49</v>
      </c>
      <c r="C28" s="101">
        <f>'2014 Rates'!C26</f>
        <v>49010000</v>
      </c>
      <c r="D28" s="102">
        <f>+'Estimated Proforma Base Revenue'!H30</f>
        <v>38072000</v>
      </c>
      <c r="E28" s="54">
        <v>0</v>
      </c>
      <c r="F28" s="54">
        <f>ROUND(+'2014 Rates'!E26,4)</f>
        <v>-0.74450000000000005</v>
      </c>
      <c r="G28" s="54">
        <f t="shared" si="0"/>
        <v>-0.74450000000000005</v>
      </c>
      <c r="H28" s="53">
        <f>+E28*C28/100+D28</f>
        <v>38072000</v>
      </c>
      <c r="I28" s="53">
        <f>G28*C28/100</f>
        <v>-364879.45</v>
      </c>
      <c r="J28" s="55">
        <f>IF(H28&gt;0,+I28/H28,0)</f>
        <v>-9.5839317608741332E-3</v>
      </c>
    </row>
    <row r="29" spans="1:10" x14ac:dyDescent="0.25">
      <c r="A29" s="56" t="s">
        <v>75</v>
      </c>
      <c r="B29" s="49">
        <v>449</v>
      </c>
      <c r="C29" s="101">
        <f>'2014 Rates'!C27</f>
        <v>165327000</v>
      </c>
      <c r="D29" s="102">
        <f>ROUND(+(SUM(ROUND('Delivered Loads by Tariff'!P154,0),ROUND('Delivered Loads by Tariff'!P156,0))*1000)*'Estimated Proforma Base Revenue'!F35/1000,0)*1000</f>
        <v>6628000</v>
      </c>
      <c r="E29" s="54">
        <v>0</v>
      </c>
      <c r="F29" s="54">
        <f>ROUND(+'2014 Rates'!E27,4)</f>
        <v>-0.37919999999999998</v>
      </c>
      <c r="G29" s="54">
        <f t="shared" si="0"/>
        <v>-0.37919999999999998</v>
      </c>
      <c r="H29" s="53">
        <f>+E29*C29/100+D29</f>
        <v>6628000</v>
      </c>
      <c r="I29" s="53">
        <f>G29*C29/100</f>
        <v>-626919.98399999994</v>
      </c>
      <c r="J29" s="55">
        <f>IF(H29&gt;0,+I29/H29,0)</f>
        <v>-9.4586599879299932E-2</v>
      </c>
    </row>
    <row r="30" spans="1:10" x14ac:dyDescent="0.25">
      <c r="A30" s="52"/>
      <c r="C30" s="101"/>
      <c r="D30" s="102"/>
      <c r="E30" s="54"/>
      <c r="F30" s="54"/>
      <c r="G30" s="54" t="s">
        <v>91</v>
      </c>
      <c r="H30" s="53"/>
      <c r="I30" s="53"/>
      <c r="J30" s="55"/>
    </row>
    <row r="31" spans="1:10" x14ac:dyDescent="0.25">
      <c r="A31" s="52" t="s">
        <v>76</v>
      </c>
      <c r="C31" s="101">
        <f>SUM(C27:C30)</f>
        <v>218331000</v>
      </c>
      <c r="D31" s="102">
        <f>SUM(D27:D30)</f>
        <v>48679000</v>
      </c>
      <c r="E31" s="54">
        <v>0</v>
      </c>
      <c r="F31" s="54">
        <f>+'2014 Rates'!E29</f>
        <v>-0.46786537310129683</v>
      </c>
      <c r="G31" s="54">
        <f t="shared" si="0"/>
        <v>-0.46786537310129683</v>
      </c>
      <c r="H31" s="50">
        <f>SUM(H27:H30)</f>
        <v>48679000</v>
      </c>
      <c r="I31" s="53">
        <f>SUM(I27:I30)</f>
        <v>-1021534.764</v>
      </c>
      <c r="J31" s="55">
        <f>IF(H31&gt;0,+I31/H31,0)</f>
        <v>-2.0985122208755314E-2</v>
      </c>
    </row>
    <row r="32" spans="1:10" x14ac:dyDescent="0.25">
      <c r="A32" s="52"/>
      <c r="C32" s="101"/>
      <c r="D32" s="102"/>
      <c r="E32" s="54"/>
      <c r="F32" s="54"/>
      <c r="G32" s="54" t="s">
        <v>91</v>
      </c>
      <c r="H32" s="53"/>
      <c r="I32" s="53"/>
      <c r="J32" s="55"/>
    </row>
    <row r="33" spans="1:10" x14ac:dyDescent="0.25">
      <c r="A33" s="52" t="s">
        <v>77</v>
      </c>
      <c r="B33" s="316" t="s">
        <v>337</v>
      </c>
      <c r="C33" s="101">
        <f>'2014 Rates'!C31</f>
        <v>6924000</v>
      </c>
      <c r="D33" s="102">
        <f>+'Estimated Proforma Base Revenue'!H33</f>
        <v>18698000</v>
      </c>
      <c r="E33" s="54">
        <v>0</v>
      </c>
      <c r="F33" s="54">
        <f>ROUND(+'2014 Rates'!E31,4)</f>
        <v>-16.473400000000002</v>
      </c>
      <c r="G33" s="54">
        <f t="shared" si="0"/>
        <v>-16.473400000000002</v>
      </c>
      <c r="H33" s="53">
        <f>+E33*C33/100+D33</f>
        <v>18698000</v>
      </c>
      <c r="I33" s="53">
        <f>G33*C33/100</f>
        <v>-1140618.216</v>
      </c>
      <c r="J33" s="55">
        <f>IF(H33&gt;0,+I33/H33,0)</f>
        <v>-6.1002150818269332E-2</v>
      </c>
    </row>
    <row r="34" spans="1:10" x14ac:dyDescent="0.25">
      <c r="A34" s="52"/>
      <c r="C34" s="101"/>
      <c r="D34" s="102"/>
      <c r="G34" s="54" t="s">
        <v>91</v>
      </c>
      <c r="H34" s="53"/>
      <c r="I34" s="53"/>
      <c r="J34" s="55"/>
    </row>
    <row r="35" spans="1:10" x14ac:dyDescent="0.25">
      <c r="A35" s="52" t="s">
        <v>78</v>
      </c>
      <c r="C35" s="50">
        <f>SUM(C9,C16,C23,C25,C31,C33)</f>
        <v>2414336000</v>
      </c>
      <c r="D35" s="53">
        <f>SUM(D9,D16,D23,D25,D31,D33)</f>
        <v>2127762000</v>
      </c>
      <c r="E35" s="54">
        <v>0</v>
      </c>
      <c r="F35" s="54">
        <f>+'2014 Rates'!E33</f>
        <v>-2.4539109055751496</v>
      </c>
      <c r="G35" s="54">
        <f t="shared" si="0"/>
        <v>-2.4539109055751496</v>
      </c>
      <c r="H35" s="53">
        <f>SUM(H9,H16,H23,H25,H31,H33)</f>
        <v>2127762000</v>
      </c>
      <c r="I35" s="53">
        <f>SUM(I9,I16,I23,I25,I31,I33)</f>
        <v>-59245555.541999996</v>
      </c>
      <c r="J35" s="55">
        <f>IF(H35&gt;0,+I35/H35,0)</f>
        <v>-2.7844070691176923E-2</v>
      </c>
    </row>
    <row r="36" spans="1:10" ht="13" thickBot="1" x14ac:dyDescent="0.3">
      <c r="A36" s="59"/>
      <c r="B36" s="60"/>
      <c r="C36" s="61"/>
      <c r="D36" s="61"/>
      <c r="E36" s="62"/>
      <c r="F36" s="62"/>
      <c r="G36" s="62"/>
      <c r="H36" s="61"/>
      <c r="I36" s="63"/>
      <c r="J36" s="235"/>
    </row>
    <row r="37" spans="1:10" x14ac:dyDescent="0.25">
      <c r="A37" s="64"/>
    </row>
    <row r="38" spans="1:10" x14ac:dyDescent="0.25">
      <c r="A38" s="64" t="s">
        <v>79</v>
      </c>
      <c r="C38" s="101">
        <f>'2014 Rates'!C36</f>
        <v>1046000</v>
      </c>
      <c r="D38" s="102">
        <f>+'Estimated Proforma Base Revenue'!H39</f>
        <v>331000</v>
      </c>
    </row>
    <row r="39" spans="1:10" x14ac:dyDescent="0.25">
      <c r="A39" s="64"/>
      <c r="D39" s="53"/>
    </row>
    <row r="40" spans="1:10" x14ac:dyDescent="0.25">
      <c r="A40" s="64" t="s">
        <v>80</v>
      </c>
      <c r="C40" s="50">
        <f>+C38+C35</f>
        <v>2415382000</v>
      </c>
      <c r="D40" s="53">
        <f>+D38+D35</f>
        <v>2128093000</v>
      </c>
    </row>
    <row r="41" spans="1:10" x14ac:dyDescent="0.25">
      <c r="A41" s="64"/>
      <c r="D41" s="53"/>
    </row>
    <row r="42" spans="1:10" x14ac:dyDescent="0.25">
      <c r="A42" s="64" t="s">
        <v>81</v>
      </c>
      <c r="C42" s="50">
        <f>'Delivered Loads by Tariff'!D20</f>
        <v>2415382000</v>
      </c>
      <c r="D42" s="53">
        <f>+'Estimated Proforma Base Revenue'!H41</f>
        <v>2128093000</v>
      </c>
    </row>
    <row r="43" spans="1:10" x14ac:dyDescent="0.25">
      <c r="A43" s="64"/>
      <c r="D43" s="53"/>
    </row>
    <row r="44" spans="1:10" x14ac:dyDescent="0.25">
      <c r="A44" s="64" t="s">
        <v>82</v>
      </c>
      <c r="C44" s="50">
        <f>+C42-C40</f>
        <v>0</v>
      </c>
      <c r="D44" s="53">
        <f>+D42-D40</f>
        <v>0</v>
      </c>
    </row>
    <row r="45" spans="1:10" x14ac:dyDescent="0.25">
      <c r="A45" s="64"/>
    </row>
    <row r="46" spans="1:10" x14ac:dyDescent="0.25">
      <c r="A46" s="64"/>
      <c r="I46" s="65"/>
    </row>
    <row r="47" spans="1:10" x14ac:dyDescent="0.25">
      <c r="A47" s="105" t="s">
        <v>92</v>
      </c>
    </row>
    <row r="48" spans="1:10" ht="30" customHeight="1" x14ac:dyDescent="0.25">
      <c r="A48" s="353" t="s">
        <v>389</v>
      </c>
      <c r="B48" s="353"/>
      <c r="C48" s="353"/>
      <c r="D48" s="353"/>
      <c r="E48" s="353"/>
      <c r="F48" s="353"/>
      <c r="G48" s="353"/>
      <c r="H48" s="353"/>
      <c r="I48" s="353"/>
      <c r="J48" s="353"/>
    </row>
    <row r="49" spans="1:1" x14ac:dyDescent="0.25">
      <c r="A49" s="64"/>
    </row>
    <row r="50" spans="1:1" x14ac:dyDescent="0.25">
      <c r="A50" s="64"/>
    </row>
    <row r="51" spans="1:1" x14ac:dyDescent="0.25">
      <c r="A51" s="64"/>
    </row>
    <row r="52" spans="1:1" x14ac:dyDescent="0.25">
      <c r="A52" s="64"/>
    </row>
    <row r="53" spans="1:1" x14ac:dyDescent="0.25">
      <c r="A53" s="64"/>
    </row>
    <row r="54" spans="1:1" x14ac:dyDescent="0.25">
      <c r="A54" s="64"/>
    </row>
    <row r="55" spans="1:1" x14ac:dyDescent="0.25">
      <c r="A55" s="64"/>
    </row>
    <row r="56" spans="1:1" x14ac:dyDescent="0.25">
      <c r="A56" s="64"/>
    </row>
    <row r="57" spans="1:1" x14ac:dyDescent="0.25">
      <c r="A57" s="64"/>
    </row>
    <row r="58" spans="1:1" x14ac:dyDescent="0.25">
      <c r="A58" s="64"/>
    </row>
    <row r="59" spans="1:1" x14ac:dyDescent="0.25">
      <c r="A59" s="64"/>
    </row>
    <row r="60" spans="1:1" x14ac:dyDescent="0.25">
      <c r="A60" s="64"/>
    </row>
    <row r="61" spans="1:1" x14ac:dyDescent="0.25">
      <c r="A61" s="64"/>
    </row>
    <row r="62" spans="1:1" x14ac:dyDescent="0.25">
      <c r="A62" s="64"/>
    </row>
    <row r="63" spans="1:1" x14ac:dyDescent="0.25">
      <c r="A63" s="64"/>
    </row>
    <row r="64" spans="1:1" x14ac:dyDescent="0.25">
      <c r="A64" s="64"/>
    </row>
    <row r="65" spans="1:1" x14ac:dyDescent="0.25">
      <c r="A65" s="64"/>
    </row>
    <row r="66" spans="1:1" x14ac:dyDescent="0.25">
      <c r="A66" s="64"/>
    </row>
    <row r="67" spans="1:1" x14ac:dyDescent="0.25">
      <c r="A67" s="64"/>
    </row>
    <row r="68" spans="1:1" x14ac:dyDescent="0.25">
      <c r="A68" s="64"/>
    </row>
    <row r="69" spans="1:1" x14ac:dyDescent="0.25">
      <c r="A69" s="64"/>
    </row>
    <row r="70" spans="1:1" x14ac:dyDescent="0.25">
      <c r="A70" s="64"/>
    </row>
    <row r="71" spans="1:1" x14ac:dyDescent="0.25">
      <c r="A71" s="64"/>
    </row>
    <row r="72" spans="1:1" x14ac:dyDescent="0.25">
      <c r="A72" s="64"/>
    </row>
    <row r="73" spans="1:1" x14ac:dyDescent="0.25">
      <c r="A73" s="64"/>
    </row>
    <row r="74" spans="1:1" x14ac:dyDescent="0.25">
      <c r="A74" s="64"/>
    </row>
    <row r="75" spans="1:1" x14ac:dyDescent="0.25">
      <c r="A75" s="64"/>
    </row>
    <row r="76" spans="1:1" x14ac:dyDescent="0.25">
      <c r="A76" s="64"/>
    </row>
    <row r="77" spans="1:1" x14ac:dyDescent="0.25">
      <c r="A77" s="64"/>
    </row>
    <row r="78" spans="1:1" x14ac:dyDescent="0.25">
      <c r="A78" s="64"/>
    </row>
    <row r="79" spans="1:1" x14ac:dyDescent="0.25">
      <c r="A79" s="64"/>
    </row>
    <row r="80" spans="1:1" x14ac:dyDescent="0.25">
      <c r="A80" s="64"/>
    </row>
    <row r="81" spans="1:1" x14ac:dyDescent="0.25">
      <c r="A81" s="64"/>
    </row>
    <row r="82" spans="1:1" x14ac:dyDescent="0.25">
      <c r="A82" s="64"/>
    </row>
    <row r="83" spans="1:1" x14ac:dyDescent="0.25">
      <c r="A83" s="64"/>
    </row>
    <row r="84" spans="1:1" x14ac:dyDescent="0.25">
      <c r="A84" s="64"/>
    </row>
    <row r="85" spans="1:1" x14ac:dyDescent="0.25">
      <c r="A85" s="64"/>
    </row>
    <row r="86" spans="1:1" x14ac:dyDescent="0.25">
      <c r="A86" s="64"/>
    </row>
    <row r="87" spans="1:1" x14ac:dyDescent="0.25">
      <c r="A87" s="64"/>
    </row>
    <row r="88" spans="1:1" x14ac:dyDescent="0.25">
      <c r="A88" s="64"/>
    </row>
    <row r="89" spans="1:1" x14ac:dyDescent="0.25">
      <c r="A89" s="64"/>
    </row>
    <row r="90" spans="1:1" x14ac:dyDescent="0.25">
      <c r="A90" s="64"/>
    </row>
    <row r="91" spans="1:1" x14ac:dyDescent="0.25">
      <c r="A91" s="64"/>
    </row>
    <row r="92" spans="1:1" x14ac:dyDescent="0.25">
      <c r="A92" s="64"/>
    </row>
    <row r="93" spans="1:1" x14ac:dyDescent="0.25">
      <c r="A93" s="64"/>
    </row>
    <row r="94" spans="1:1" x14ac:dyDescent="0.25">
      <c r="A94" s="64"/>
    </row>
    <row r="95" spans="1:1" x14ac:dyDescent="0.25">
      <c r="A95" s="64"/>
    </row>
    <row r="96" spans="1:1" x14ac:dyDescent="0.25">
      <c r="A96" s="64"/>
    </row>
    <row r="97" spans="1:1" x14ac:dyDescent="0.25">
      <c r="A97" s="64"/>
    </row>
    <row r="98" spans="1:1" x14ac:dyDescent="0.25">
      <c r="A98" s="64"/>
    </row>
    <row r="99" spans="1:1" x14ac:dyDescent="0.25">
      <c r="A99" s="64"/>
    </row>
    <row r="100" spans="1:1" x14ac:dyDescent="0.25">
      <c r="A100" s="64"/>
    </row>
    <row r="101" spans="1:1" x14ac:dyDescent="0.25">
      <c r="A101" s="64"/>
    </row>
    <row r="102" spans="1:1" x14ac:dyDescent="0.25">
      <c r="A102" s="64"/>
    </row>
    <row r="103" spans="1:1" x14ac:dyDescent="0.25">
      <c r="A103" s="64"/>
    </row>
    <row r="104" spans="1:1" x14ac:dyDescent="0.25">
      <c r="A104" s="64"/>
    </row>
    <row r="105" spans="1:1" x14ac:dyDescent="0.25">
      <c r="A105" s="64"/>
    </row>
    <row r="106" spans="1:1" x14ac:dyDescent="0.25">
      <c r="A106" s="64"/>
    </row>
    <row r="107" spans="1:1" x14ac:dyDescent="0.25">
      <c r="A107" s="64"/>
    </row>
    <row r="108" spans="1:1" x14ac:dyDescent="0.25">
      <c r="A108" s="64"/>
    </row>
    <row r="109" spans="1:1" x14ac:dyDescent="0.25">
      <c r="A109" s="64"/>
    </row>
    <row r="110" spans="1:1" x14ac:dyDescent="0.25">
      <c r="A110" s="64"/>
    </row>
    <row r="111" spans="1:1" x14ac:dyDescent="0.25">
      <c r="A111" s="64"/>
    </row>
    <row r="112" spans="1:1" x14ac:dyDescent="0.25">
      <c r="A112" s="64"/>
    </row>
    <row r="113" spans="1:1" x14ac:dyDescent="0.25">
      <c r="A113" s="64"/>
    </row>
    <row r="114" spans="1:1" x14ac:dyDescent="0.25">
      <c r="A114" s="64"/>
    </row>
    <row r="115" spans="1:1" x14ac:dyDescent="0.25">
      <c r="A115" s="64"/>
    </row>
    <row r="116" spans="1:1" x14ac:dyDescent="0.25">
      <c r="A116" s="64"/>
    </row>
    <row r="117" spans="1:1" x14ac:dyDescent="0.25">
      <c r="A117" s="64"/>
    </row>
    <row r="118" spans="1:1" x14ac:dyDescent="0.25">
      <c r="A118" s="64"/>
    </row>
    <row r="119" spans="1:1" x14ac:dyDescent="0.25">
      <c r="A119" s="64"/>
    </row>
    <row r="120" spans="1:1" x14ac:dyDescent="0.25">
      <c r="A120" s="64"/>
    </row>
    <row r="121" spans="1:1" x14ac:dyDescent="0.25">
      <c r="A121" s="64"/>
    </row>
    <row r="122" spans="1:1" x14ac:dyDescent="0.25">
      <c r="A122" s="64"/>
    </row>
    <row r="123" spans="1:1" x14ac:dyDescent="0.25">
      <c r="A123" s="64"/>
    </row>
    <row r="124" spans="1:1" x14ac:dyDescent="0.25">
      <c r="A124" s="64"/>
    </row>
    <row r="125" spans="1:1" x14ac:dyDescent="0.25">
      <c r="A125" s="64"/>
    </row>
    <row r="126" spans="1:1" x14ac:dyDescent="0.25">
      <c r="A126" s="64"/>
    </row>
    <row r="127" spans="1:1" x14ac:dyDescent="0.25">
      <c r="A127" s="64"/>
    </row>
    <row r="128" spans="1:1" x14ac:dyDescent="0.25">
      <c r="A128" s="64"/>
    </row>
    <row r="129" spans="1:1" x14ac:dyDescent="0.25">
      <c r="A129" s="64"/>
    </row>
    <row r="130" spans="1:1" x14ac:dyDescent="0.25">
      <c r="A130" s="64"/>
    </row>
    <row r="131" spans="1:1" x14ac:dyDescent="0.25">
      <c r="A131" s="64"/>
    </row>
    <row r="132" spans="1:1" x14ac:dyDescent="0.25">
      <c r="A132" s="64"/>
    </row>
    <row r="133" spans="1:1" x14ac:dyDescent="0.25">
      <c r="A133" s="64"/>
    </row>
    <row r="134" spans="1:1" x14ac:dyDescent="0.25">
      <c r="A134" s="64"/>
    </row>
    <row r="135" spans="1:1" x14ac:dyDescent="0.25">
      <c r="A135" s="64"/>
    </row>
    <row r="136" spans="1:1" x14ac:dyDescent="0.25">
      <c r="A136" s="64"/>
    </row>
    <row r="137" spans="1:1" x14ac:dyDescent="0.25">
      <c r="A137" s="64"/>
    </row>
    <row r="138" spans="1:1" x14ac:dyDescent="0.25">
      <c r="A138" s="64"/>
    </row>
    <row r="139" spans="1:1" x14ac:dyDescent="0.25">
      <c r="A139" s="64"/>
    </row>
    <row r="140" spans="1:1" x14ac:dyDescent="0.25">
      <c r="A140" s="64"/>
    </row>
    <row r="141" spans="1:1" x14ac:dyDescent="0.25">
      <c r="A141" s="64"/>
    </row>
    <row r="142" spans="1:1" x14ac:dyDescent="0.25">
      <c r="A142" s="64"/>
    </row>
    <row r="143" spans="1:1" x14ac:dyDescent="0.25">
      <c r="A143" s="64"/>
    </row>
    <row r="144" spans="1:1" x14ac:dyDescent="0.25">
      <c r="A144" s="64"/>
    </row>
    <row r="145" spans="1:1" x14ac:dyDescent="0.25">
      <c r="A145" s="64"/>
    </row>
    <row r="146" spans="1:1" x14ac:dyDescent="0.25">
      <c r="A146" s="64"/>
    </row>
    <row r="147" spans="1:1" x14ac:dyDescent="0.25">
      <c r="A147" s="64"/>
    </row>
    <row r="148" spans="1:1" x14ac:dyDescent="0.25">
      <c r="A148" s="64"/>
    </row>
    <row r="149" spans="1:1" x14ac:dyDescent="0.25">
      <c r="A149" s="64"/>
    </row>
    <row r="150" spans="1:1" x14ac:dyDescent="0.25">
      <c r="A150" s="64"/>
    </row>
    <row r="151" spans="1:1" x14ac:dyDescent="0.25">
      <c r="A151" s="64"/>
    </row>
    <row r="152" spans="1:1" x14ac:dyDescent="0.25">
      <c r="A152" s="64"/>
    </row>
    <row r="153" spans="1:1" x14ac:dyDescent="0.25">
      <c r="A153" s="64"/>
    </row>
    <row r="154" spans="1:1" x14ac:dyDescent="0.25">
      <c r="A154" s="64"/>
    </row>
    <row r="155" spans="1:1" x14ac:dyDescent="0.25">
      <c r="A155" s="64"/>
    </row>
    <row r="156" spans="1:1" x14ac:dyDescent="0.25">
      <c r="A156" s="64"/>
    </row>
    <row r="157" spans="1:1" x14ac:dyDescent="0.25">
      <c r="A157" s="64"/>
    </row>
    <row r="158" spans="1:1" x14ac:dyDescent="0.25">
      <c r="A158" s="64"/>
    </row>
    <row r="159" spans="1:1" x14ac:dyDescent="0.25">
      <c r="A159" s="64"/>
    </row>
    <row r="160" spans="1:1" x14ac:dyDescent="0.25">
      <c r="A160" s="64"/>
    </row>
    <row r="161" spans="1:1" x14ac:dyDescent="0.25">
      <c r="A161" s="64"/>
    </row>
    <row r="162" spans="1:1" x14ac:dyDescent="0.25">
      <c r="A162" s="64"/>
    </row>
    <row r="163" spans="1:1" x14ac:dyDescent="0.25">
      <c r="A163" s="64"/>
    </row>
    <row r="164" spans="1:1" x14ac:dyDescent="0.25">
      <c r="A164" s="64"/>
    </row>
    <row r="165" spans="1:1" x14ac:dyDescent="0.25">
      <c r="A165" s="64"/>
    </row>
    <row r="166" spans="1:1" x14ac:dyDescent="0.25">
      <c r="A166" s="64"/>
    </row>
    <row r="167" spans="1:1" x14ac:dyDescent="0.25">
      <c r="A167" s="64"/>
    </row>
    <row r="168" spans="1:1" x14ac:dyDescent="0.25">
      <c r="A168" s="64"/>
    </row>
    <row r="169" spans="1:1" x14ac:dyDescent="0.25">
      <c r="A169" s="64"/>
    </row>
    <row r="170" spans="1:1" x14ac:dyDescent="0.25">
      <c r="A170" s="64"/>
    </row>
    <row r="171" spans="1:1" x14ac:dyDescent="0.25">
      <c r="A171" s="64"/>
    </row>
    <row r="172" spans="1:1" x14ac:dyDescent="0.25">
      <c r="A172" s="64"/>
    </row>
    <row r="173" spans="1:1" x14ac:dyDescent="0.25">
      <c r="A173" s="64"/>
    </row>
    <row r="174" spans="1:1" x14ac:dyDescent="0.25">
      <c r="A174" s="64"/>
    </row>
    <row r="175" spans="1:1" x14ac:dyDescent="0.25">
      <c r="A175" s="64"/>
    </row>
    <row r="176" spans="1:1" x14ac:dyDescent="0.25">
      <c r="A176" s="64"/>
    </row>
    <row r="177" spans="1:1" x14ac:dyDescent="0.25">
      <c r="A177" s="64"/>
    </row>
    <row r="178" spans="1:1" x14ac:dyDescent="0.25">
      <c r="A178" s="64"/>
    </row>
    <row r="179" spans="1:1" x14ac:dyDescent="0.25">
      <c r="A179" s="64"/>
    </row>
    <row r="180" spans="1:1" x14ac:dyDescent="0.25">
      <c r="A180" s="64"/>
    </row>
    <row r="181" spans="1:1" x14ac:dyDescent="0.25">
      <c r="A181" s="64"/>
    </row>
    <row r="182" spans="1:1" x14ac:dyDescent="0.25">
      <c r="A182" s="64"/>
    </row>
    <row r="183" spans="1:1" x14ac:dyDescent="0.25">
      <c r="A183" s="64"/>
    </row>
    <row r="184" spans="1:1" x14ac:dyDescent="0.25">
      <c r="A184" s="64"/>
    </row>
    <row r="185" spans="1:1" x14ac:dyDescent="0.25">
      <c r="A185" s="64"/>
    </row>
    <row r="186" spans="1:1" x14ac:dyDescent="0.25">
      <c r="A186" s="64"/>
    </row>
    <row r="187" spans="1:1" x14ac:dyDescent="0.25">
      <c r="A187" s="64"/>
    </row>
    <row r="188" spans="1:1" x14ac:dyDescent="0.25">
      <c r="A188" s="64"/>
    </row>
    <row r="189" spans="1:1" x14ac:dyDescent="0.25">
      <c r="A189" s="64"/>
    </row>
    <row r="190" spans="1:1" x14ac:dyDescent="0.25">
      <c r="A190" s="64"/>
    </row>
    <row r="191" spans="1:1" x14ac:dyDescent="0.25">
      <c r="A191" s="64"/>
    </row>
    <row r="192" spans="1:1" x14ac:dyDescent="0.25">
      <c r="A192" s="64"/>
    </row>
  </sheetData>
  <mergeCells count="1">
    <mergeCell ref="A48:J48"/>
  </mergeCells>
  <phoneticPr fontId="2" type="noConversion"/>
  <printOptions horizontalCentered="1"/>
  <pageMargins left="0.7" right="0.7" top="0.75" bottom="0.75" header="0.3" footer="0.3"/>
  <pageSetup scale="74" orientation="landscape" horizontalDpi="1200" verticalDpi="1200" r:id="rId1"/>
  <headerFooter alignWithMargins="0">
    <oddHeader>&amp;R2014 Sales of Asset Filing
Advice 2014-xx
Page &amp;P of &amp;N</oddHeader>
    <oddFooter>&amp;L&amp;F
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44"/>
  <sheetViews>
    <sheetView zoomScale="90" zoomScaleNormal="90" workbookViewId="0">
      <pane xSplit="3" ySplit="7" topLeftCell="D8" activePane="bottomRight" state="frozen"/>
      <selection sqref="A1:O21"/>
      <selection pane="topRight" sqref="A1:O21"/>
      <selection pane="bottomLeft" sqref="A1:O21"/>
      <selection pane="bottomRight" activeCell="G10" sqref="G10"/>
    </sheetView>
  </sheetViews>
  <sheetFormatPr defaultColWidth="9.1796875" defaultRowHeight="13" x14ac:dyDescent="0.3"/>
  <cols>
    <col min="1" max="1" width="4.26953125" style="109" bestFit="1" customWidth="1"/>
    <col min="2" max="2" width="34.1796875" style="109" bestFit="1" customWidth="1"/>
    <col min="3" max="3" width="8" style="109" bestFit="1" customWidth="1"/>
    <col min="4" max="4" width="15.26953125" style="109" customWidth="1"/>
    <col min="5" max="5" width="17.26953125" style="109" bestFit="1" customWidth="1"/>
    <col min="6" max="6" width="10.54296875" style="109" customWidth="1"/>
    <col min="7" max="7" width="14.453125" style="109" customWidth="1"/>
    <col min="8" max="8" width="14.7265625" style="109" bestFit="1" customWidth="1"/>
    <col min="9" max="16384" width="9.1796875" style="109"/>
  </cols>
  <sheetData>
    <row r="1" spans="1:8" x14ac:dyDescent="0.3">
      <c r="A1" s="354" t="s">
        <v>3</v>
      </c>
      <c r="B1" s="354"/>
      <c r="C1" s="354"/>
      <c r="D1" s="354"/>
      <c r="E1" s="354"/>
    </row>
    <row r="2" spans="1:8" x14ac:dyDescent="0.3">
      <c r="A2" s="355" t="s">
        <v>325</v>
      </c>
      <c r="B2" s="354"/>
      <c r="C2" s="354"/>
      <c r="D2" s="354"/>
      <c r="E2" s="354"/>
    </row>
    <row r="3" spans="1:8" x14ac:dyDescent="0.3">
      <c r="A3" s="354" t="s">
        <v>326</v>
      </c>
      <c r="B3" s="354"/>
      <c r="C3" s="354"/>
      <c r="D3" s="354"/>
      <c r="E3" s="354"/>
    </row>
    <row r="4" spans="1:8" x14ac:dyDescent="0.3">
      <c r="A4" s="354" t="s">
        <v>327</v>
      </c>
      <c r="B4" s="354"/>
      <c r="C4" s="354"/>
      <c r="D4" s="354"/>
      <c r="E4" s="354"/>
    </row>
    <row r="5" spans="1:8" x14ac:dyDescent="0.3">
      <c r="A5" s="355" t="s">
        <v>328</v>
      </c>
      <c r="B5" s="354"/>
      <c r="C5" s="354"/>
      <c r="D5" s="354"/>
      <c r="E5" s="354"/>
    </row>
    <row r="6" spans="1:8" x14ac:dyDescent="0.3">
      <c r="A6" s="311"/>
      <c r="B6" s="312"/>
      <c r="C6" s="312"/>
      <c r="D6" s="312"/>
      <c r="E6" s="312"/>
    </row>
    <row r="7" spans="1:8" s="112" customFormat="1" ht="39" x14ac:dyDescent="0.3">
      <c r="A7" s="110" t="s">
        <v>4</v>
      </c>
      <c r="B7" s="110" t="s">
        <v>98</v>
      </c>
      <c r="C7" s="110" t="s">
        <v>0</v>
      </c>
      <c r="D7" s="111" t="s">
        <v>330</v>
      </c>
      <c r="E7" s="111" t="s">
        <v>331</v>
      </c>
      <c r="F7" s="110" t="s">
        <v>12</v>
      </c>
      <c r="G7" s="111" t="s">
        <v>233</v>
      </c>
      <c r="H7" s="111" t="s">
        <v>332</v>
      </c>
    </row>
    <row r="8" spans="1:8" s="112" customFormat="1" x14ac:dyDescent="0.3">
      <c r="A8" s="113"/>
      <c r="B8" s="113" t="s">
        <v>99</v>
      </c>
      <c r="C8" s="114" t="s">
        <v>100</v>
      </c>
      <c r="D8" s="114" t="s">
        <v>101</v>
      </c>
      <c r="E8" s="114" t="s">
        <v>102</v>
      </c>
      <c r="F8" s="114" t="s">
        <v>338</v>
      </c>
      <c r="G8" s="115" t="s">
        <v>103</v>
      </c>
      <c r="H8" s="115" t="s">
        <v>339</v>
      </c>
    </row>
    <row r="9" spans="1:8" s="112" customFormat="1" x14ac:dyDescent="0.3">
      <c r="A9" s="112">
        <v>1</v>
      </c>
      <c r="B9" s="116" t="s">
        <v>1</v>
      </c>
      <c r="C9" s="113"/>
      <c r="D9" s="113"/>
    </row>
    <row r="10" spans="1:8" x14ac:dyDescent="0.3">
      <c r="A10" s="112">
        <v>2</v>
      </c>
      <c r="B10" s="117" t="s">
        <v>1</v>
      </c>
      <c r="C10" s="118">
        <v>7</v>
      </c>
      <c r="D10" s="119">
        <v>10639980000</v>
      </c>
      <c r="E10" s="120">
        <v>1151636000</v>
      </c>
      <c r="F10" s="121">
        <f>E10/D10</f>
        <v>0.10823666961780003</v>
      </c>
      <c r="G10" s="119">
        <f>+'Delivered Loads by Tariff'!N6</f>
        <v>10758601000</v>
      </c>
      <c r="H10" s="120">
        <f>ROUND(+G10*F10/1000,0)*1000</f>
        <v>1164475000</v>
      </c>
    </row>
    <row r="11" spans="1:8" x14ac:dyDescent="0.3">
      <c r="A11" s="112">
        <v>3</v>
      </c>
      <c r="B11" s="122" t="s">
        <v>104</v>
      </c>
      <c r="C11" s="118"/>
      <c r="D11" s="123">
        <f>+D10</f>
        <v>10639980000</v>
      </c>
      <c r="E11" s="124">
        <f>+E10</f>
        <v>1151636000</v>
      </c>
      <c r="G11" s="123">
        <f>SUM(G10:G10)</f>
        <v>10758601000</v>
      </c>
      <c r="H11" s="124">
        <f>SUM(H10:H10)</f>
        <v>1164475000</v>
      </c>
    </row>
    <row r="12" spans="1:8" x14ac:dyDescent="0.3">
      <c r="A12" s="112">
        <v>4</v>
      </c>
      <c r="C12" s="118"/>
      <c r="D12" s="125"/>
      <c r="E12" s="126"/>
      <c r="G12" s="125"/>
      <c r="H12" s="126"/>
    </row>
    <row r="13" spans="1:8" x14ac:dyDescent="0.3">
      <c r="A13" s="112">
        <v>5</v>
      </c>
      <c r="B13" s="109" t="s">
        <v>105</v>
      </c>
      <c r="C13" s="118"/>
      <c r="D13" s="125"/>
      <c r="E13" s="126"/>
      <c r="G13" s="125"/>
      <c r="H13" s="126"/>
    </row>
    <row r="14" spans="1:8" x14ac:dyDescent="0.3">
      <c r="A14" s="112">
        <v>6</v>
      </c>
      <c r="B14" s="127" t="s">
        <v>106</v>
      </c>
      <c r="C14" s="118">
        <v>24</v>
      </c>
      <c r="D14" s="119">
        <v>2691435000</v>
      </c>
      <c r="E14" s="120">
        <v>272346000</v>
      </c>
      <c r="F14" s="121">
        <f t="shared" ref="F14:F17" si="0">E14/D14</f>
        <v>0.10118988569294819</v>
      </c>
      <c r="G14" s="125">
        <f>+'Delivered Loads by Tariff'!N7</f>
        <v>2677972000</v>
      </c>
      <c r="H14" s="126">
        <f>ROUND(+G14*F14/1000,0)*1000</f>
        <v>270984000</v>
      </c>
    </row>
    <row r="15" spans="1:8" x14ac:dyDescent="0.3">
      <c r="A15" s="112">
        <v>7</v>
      </c>
      <c r="B15" s="127" t="s">
        <v>107</v>
      </c>
      <c r="C15" s="118">
        <v>25</v>
      </c>
      <c r="D15" s="119">
        <v>2931789000</v>
      </c>
      <c r="E15" s="120">
        <v>273857000</v>
      </c>
      <c r="F15" s="121">
        <f t="shared" si="0"/>
        <v>9.3409518897847016E-2</v>
      </c>
      <c r="G15" s="125">
        <f>+'Delivered Loads by Tariff'!N8</f>
        <v>3007205000</v>
      </c>
      <c r="H15" s="126">
        <f>ROUND(+G15*F15/1000,0)*1000</f>
        <v>280902000</v>
      </c>
    </row>
    <row r="16" spans="1:8" x14ac:dyDescent="0.3">
      <c r="A16" s="112">
        <v>8</v>
      </c>
      <c r="B16" s="127" t="s">
        <v>108</v>
      </c>
      <c r="C16" s="118" t="s">
        <v>152</v>
      </c>
      <c r="D16" s="119">
        <v>1945235000</v>
      </c>
      <c r="E16" s="120">
        <v>164449000</v>
      </c>
      <c r="F16" s="121">
        <f t="shared" si="0"/>
        <v>8.453940012389248E-2</v>
      </c>
      <c r="G16" s="125">
        <f>+'Delivered Loads by Tariff'!N9</f>
        <v>1950750000</v>
      </c>
      <c r="H16" s="126">
        <f>ROUND(+G16*F16/1000,0)*1000</f>
        <v>164915000</v>
      </c>
    </row>
    <row r="17" spans="1:8" x14ac:dyDescent="0.3">
      <c r="A17" s="112">
        <v>10</v>
      </c>
      <c r="B17" s="128" t="s">
        <v>109</v>
      </c>
      <c r="C17" s="118">
        <v>29</v>
      </c>
      <c r="D17" s="119">
        <v>13842000</v>
      </c>
      <c r="E17" s="120">
        <v>1182000</v>
      </c>
      <c r="F17" s="121">
        <f t="shared" si="0"/>
        <v>8.5392284351972256E-2</v>
      </c>
      <c r="G17" s="125">
        <f>+'Delivered Loads by Tariff'!N10</f>
        <v>15060000</v>
      </c>
      <c r="H17" s="126">
        <f>ROUND(+G17*F17/1000,0)*1000</f>
        <v>1286000</v>
      </c>
    </row>
    <row r="18" spans="1:8" x14ac:dyDescent="0.3">
      <c r="A18" s="112">
        <v>11</v>
      </c>
      <c r="B18" s="109" t="s">
        <v>110</v>
      </c>
      <c r="C18" s="118"/>
      <c r="D18" s="123">
        <f>SUM(D14:D17)</f>
        <v>7582301000</v>
      </c>
      <c r="E18" s="124">
        <f>SUM(E14:E17)</f>
        <v>711834000</v>
      </c>
      <c r="G18" s="123">
        <f>SUM(G14:G17)</f>
        <v>7650987000</v>
      </c>
      <c r="H18" s="124">
        <f>SUM(H14:H17)</f>
        <v>718087000</v>
      </c>
    </row>
    <row r="19" spans="1:8" x14ac:dyDescent="0.3">
      <c r="A19" s="112">
        <v>12</v>
      </c>
      <c r="C19" s="118"/>
      <c r="D19" s="125"/>
      <c r="E19" s="126"/>
      <c r="G19" s="125"/>
      <c r="H19" s="126"/>
    </row>
    <row r="20" spans="1:8" x14ac:dyDescent="0.3">
      <c r="A20" s="112">
        <v>13</v>
      </c>
      <c r="B20" s="127" t="s">
        <v>111</v>
      </c>
      <c r="C20" s="118"/>
      <c r="D20" s="125"/>
      <c r="E20" s="126"/>
      <c r="G20" s="125"/>
      <c r="H20" s="126"/>
    </row>
    <row r="21" spans="1:8" x14ac:dyDescent="0.3">
      <c r="A21" s="112">
        <v>14</v>
      </c>
      <c r="B21" s="117" t="s">
        <v>112</v>
      </c>
      <c r="C21" s="118">
        <v>31</v>
      </c>
      <c r="D21" s="125">
        <v>1308437000</v>
      </c>
      <c r="E21" s="126">
        <v>107926000</v>
      </c>
      <c r="F21" s="121">
        <f t="shared" ref="F21:F23" si="1">E21/D21</f>
        <v>8.2484674462736843E-2</v>
      </c>
      <c r="G21" s="125">
        <f>+'Delivered Loads by Tariff'!N11</f>
        <v>1356403000</v>
      </c>
      <c r="H21" s="126">
        <f>ROUND(+G21*F21/1000,0)*1000</f>
        <v>111882000</v>
      </c>
    </row>
    <row r="22" spans="1:8" x14ac:dyDescent="0.3">
      <c r="A22" s="112">
        <v>15</v>
      </c>
      <c r="B22" s="117" t="s">
        <v>109</v>
      </c>
      <c r="C22" s="118">
        <v>35</v>
      </c>
      <c r="D22" s="125">
        <v>4508000</v>
      </c>
      <c r="E22" s="126">
        <v>259000</v>
      </c>
      <c r="F22" s="121">
        <f t="shared" si="1"/>
        <v>5.745341614906832E-2</v>
      </c>
      <c r="G22" s="125">
        <f>+'Delivered Loads by Tariff'!N12</f>
        <v>4607000</v>
      </c>
      <c r="H22" s="126">
        <f>ROUND(+G22*F22/1000,0)*1000</f>
        <v>265000</v>
      </c>
    </row>
    <row r="23" spans="1:8" x14ac:dyDescent="0.3">
      <c r="A23" s="112">
        <v>16</v>
      </c>
      <c r="B23" s="122" t="s">
        <v>113</v>
      </c>
      <c r="C23" s="118">
        <v>43</v>
      </c>
      <c r="D23" s="125">
        <v>125921000</v>
      </c>
      <c r="E23" s="126">
        <v>11747000</v>
      </c>
      <c r="F23" s="121">
        <f t="shared" si="1"/>
        <v>9.3288649232455265E-2</v>
      </c>
      <c r="G23" s="125">
        <f>+'Delivered Loads by Tariff'!N14</f>
        <v>145727000</v>
      </c>
      <c r="H23" s="126">
        <f>ROUND(+G23*F23/1000,0)*1000</f>
        <v>13595000</v>
      </c>
    </row>
    <row r="24" spans="1:8" x14ac:dyDescent="0.3">
      <c r="A24" s="112">
        <v>17</v>
      </c>
      <c r="B24" s="109" t="s">
        <v>114</v>
      </c>
      <c r="C24" s="118"/>
      <c r="D24" s="123">
        <f>SUM(D21:D23)</f>
        <v>1438866000</v>
      </c>
      <c r="E24" s="124">
        <f>SUM(E21:E23)</f>
        <v>119932000</v>
      </c>
      <c r="G24" s="123">
        <f>SUM(G21:G23)</f>
        <v>1506737000</v>
      </c>
      <c r="H24" s="124">
        <f>SUM(H21:H23)</f>
        <v>125742000</v>
      </c>
    </row>
    <row r="25" spans="1:8" x14ac:dyDescent="0.3">
      <c r="A25" s="112">
        <v>18</v>
      </c>
      <c r="C25" s="118"/>
      <c r="D25" s="123"/>
      <c r="E25" s="124"/>
    </row>
    <row r="26" spans="1:8" x14ac:dyDescent="0.3">
      <c r="A26" s="112">
        <v>19</v>
      </c>
      <c r="B26" s="109" t="s">
        <v>90</v>
      </c>
      <c r="C26" s="118">
        <v>40</v>
      </c>
      <c r="D26" s="123">
        <v>697512000</v>
      </c>
      <c r="E26" s="124">
        <v>50716000</v>
      </c>
      <c r="F26" s="121">
        <f>E26/D26</f>
        <v>7.270986018878528E-2</v>
      </c>
      <c r="G26" s="123">
        <f>+'Delivered Loads by Tariff'!N13</f>
        <v>710928000</v>
      </c>
      <c r="H26" s="124">
        <f>ROUND(+G26*F26/1000,0)*1000</f>
        <v>51691000</v>
      </c>
    </row>
    <row r="27" spans="1:8" x14ac:dyDescent="0.3">
      <c r="A27" s="112">
        <v>20</v>
      </c>
      <c r="C27" s="118"/>
      <c r="D27" s="125"/>
      <c r="E27" s="126"/>
    </row>
    <row r="28" spans="1:8" x14ac:dyDescent="0.3">
      <c r="A28" s="112">
        <v>21</v>
      </c>
      <c r="B28" s="127" t="s">
        <v>115</v>
      </c>
      <c r="C28" s="118"/>
      <c r="D28" s="125"/>
      <c r="E28" s="126"/>
      <c r="G28" s="125"/>
      <c r="H28" s="126"/>
    </row>
    <row r="29" spans="1:8" x14ac:dyDescent="0.3">
      <c r="A29" s="112">
        <v>22</v>
      </c>
      <c r="B29" s="127" t="s">
        <v>116</v>
      </c>
      <c r="C29" s="118">
        <v>46</v>
      </c>
      <c r="D29" s="125">
        <v>41265000</v>
      </c>
      <c r="E29" s="126">
        <v>3192000</v>
      </c>
      <c r="F29" s="121">
        <f t="shared" ref="F29:F30" si="2">E29/D29</f>
        <v>7.7353689567430023E-2</v>
      </c>
      <c r="G29" s="125">
        <f>+'Delivered Loads by Tariff'!N15</f>
        <v>51435000</v>
      </c>
      <c r="H29" s="126">
        <f>ROUND(+G29*F29/1000,0)*1000</f>
        <v>3979000</v>
      </c>
    </row>
    <row r="30" spans="1:8" x14ac:dyDescent="0.3">
      <c r="A30" s="112">
        <v>23</v>
      </c>
      <c r="B30" s="128" t="s">
        <v>112</v>
      </c>
      <c r="C30" s="118">
        <v>49</v>
      </c>
      <c r="D30" s="125">
        <v>632271000</v>
      </c>
      <c r="E30" s="126">
        <v>41880000</v>
      </c>
      <c r="F30" s="121">
        <f t="shared" si="2"/>
        <v>6.6237420346655154E-2</v>
      </c>
      <c r="G30" s="125">
        <f>+'Delivered Loads by Tariff'!N16</f>
        <v>574788000</v>
      </c>
      <c r="H30" s="126">
        <f>ROUND(+G30*F30/1000,0)*1000</f>
        <v>38072000</v>
      </c>
    </row>
    <row r="31" spans="1:8" x14ac:dyDescent="0.3">
      <c r="A31" s="112">
        <v>24</v>
      </c>
      <c r="B31" s="109" t="s">
        <v>117</v>
      </c>
      <c r="C31" s="118"/>
      <c r="D31" s="123">
        <f>SUM(D29:D30)</f>
        <v>673536000</v>
      </c>
      <c r="E31" s="124">
        <f>SUM(E29:E30)</f>
        <v>45072000</v>
      </c>
      <c r="G31" s="123">
        <f>SUM(G29:G30)</f>
        <v>626223000</v>
      </c>
      <c r="H31" s="124">
        <f>SUM(H29:H30)</f>
        <v>42051000</v>
      </c>
    </row>
    <row r="32" spans="1:8" x14ac:dyDescent="0.3">
      <c r="A32" s="112">
        <v>25</v>
      </c>
      <c r="C32" s="118"/>
      <c r="D32" s="123"/>
      <c r="E32" s="124"/>
    </row>
    <row r="33" spans="1:8" x14ac:dyDescent="0.3">
      <c r="A33" s="112">
        <v>26</v>
      </c>
      <c r="B33" s="109" t="s">
        <v>118</v>
      </c>
      <c r="C33" s="118" t="s">
        <v>97</v>
      </c>
      <c r="D33" s="123">
        <v>83357000</v>
      </c>
      <c r="E33" s="124">
        <v>19537000</v>
      </c>
      <c r="F33" s="121">
        <f>E33/D33</f>
        <v>0.23437743680794654</v>
      </c>
      <c r="G33" s="123">
        <f>+'Delivered Loads by Tariff'!N17</f>
        <v>79776000</v>
      </c>
      <c r="H33" s="124">
        <f>ROUND(+G33*F33/1000,0)*1000</f>
        <v>18698000</v>
      </c>
    </row>
    <row r="34" spans="1:8" x14ac:dyDescent="0.3">
      <c r="A34" s="112">
        <v>27</v>
      </c>
      <c r="B34" s="117"/>
      <c r="C34" s="118"/>
      <c r="D34" s="125"/>
      <c r="E34" s="126"/>
    </row>
    <row r="35" spans="1:8" x14ac:dyDescent="0.3">
      <c r="A35" s="112">
        <v>30</v>
      </c>
      <c r="B35" s="109" t="s">
        <v>120</v>
      </c>
      <c r="C35" s="118" t="s">
        <v>329</v>
      </c>
      <c r="D35" s="123">
        <v>2100413000</v>
      </c>
      <c r="E35" s="124">
        <v>7006000</v>
      </c>
      <c r="F35" s="121">
        <f>E35/D35</f>
        <v>3.3355344877412205E-3</v>
      </c>
      <c r="G35" s="123">
        <f>+'Delivered Loads by Tariff'!N19</f>
        <v>2104091000</v>
      </c>
      <c r="H35" s="124">
        <f>ROUND(+G35*F35/1000,0)*1000</f>
        <v>7018000</v>
      </c>
    </row>
    <row r="36" spans="1:8" x14ac:dyDescent="0.3">
      <c r="A36" s="112">
        <v>31</v>
      </c>
      <c r="B36" s="128"/>
      <c r="C36" s="118"/>
      <c r="D36" s="119"/>
      <c r="E36" s="120"/>
    </row>
    <row r="37" spans="1:8" ht="13.5" thickBot="1" x14ac:dyDescent="0.35">
      <c r="A37" s="112">
        <v>32</v>
      </c>
      <c r="B37" s="109" t="s">
        <v>121</v>
      </c>
      <c r="C37" s="118"/>
      <c r="D37" s="123">
        <f>SUM(D35,D33,D31,D26,D24,D18,D11)</f>
        <v>23215965000</v>
      </c>
      <c r="E37" s="124">
        <f>SUM(E35,E33,E31,E26,E24,E18,E11)</f>
        <v>2105733000</v>
      </c>
      <c r="G37" s="129">
        <f>SUM(G11,G18,G24,G26,G31,G33,G35)</f>
        <v>23437343000</v>
      </c>
      <c r="H37" s="130">
        <f>SUM(H11,H18,H24,H26,H31,H33,H35)</f>
        <v>2127762000</v>
      </c>
    </row>
    <row r="38" spans="1:8" ht="13.5" thickTop="1" x14ac:dyDescent="0.3">
      <c r="A38" s="112">
        <v>33</v>
      </c>
      <c r="B38" s="128"/>
      <c r="C38" s="118"/>
      <c r="D38" s="123"/>
      <c r="E38" s="124"/>
      <c r="G38" s="131"/>
      <c r="H38" s="132"/>
    </row>
    <row r="39" spans="1:8" x14ac:dyDescent="0.3">
      <c r="A39" s="112">
        <v>34</v>
      </c>
      <c r="B39" s="109" t="s">
        <v>122</v>
      </c>
      <c r="C39" s="118"/>
      <c r="D39" s="123">
        <v>7219000</v>
      </c>
      <c r="E39" s="124">
        <v>330000</v>
      </c>
      <c r="F39" s="121">
        <f>E39/D39</f>
        <v>4.5712702590386477E-2</v>
      </c>
      <c r="G39" s="123">
        <f>+'Delivered Loads by Tariff'!N18</f>
        <v>7247000</v>
      </c>
      <c r="H39" s="124">
        <f>ROUND(+G39*F39/1000,0)*1000</f>
        <v>331000</v>
      </c>
    </row>
    <row r="40" spans="1:8" x14ac:dyDescent="0.3">
      <c r="A40" s="112">
        <v>35</v>
      </c>
      <c r="B40" s="128"/>
      <c r="C40" s="118"/>
      <c r="D40" s="119"/>
      <c r="E40" s="120"/>
    </row>
    <row r="41" spans="1:8" ht="13.5" thickBot="1" x14ac:dyDescent="0.35">
      <c r="A41" s="112">
        <v>36</v>
      </c>
      <c r="B41" s="109" t="s">
        <v>123</v>
      </c>
      <c r="D41" s="133">
        <f>SUM(D39,D37)</f>
        <v>23223184000</v>
      </c>
      <c r="E41" s="130">
        <f>SUM(E39,E37)</f>
        <v>2106063000</v>
      </c>
      <c r="G41" s="133">
        <f>SUM(G37,G39)</f>
        <v>23444590000</v>
      </c>
      <c r="H41" s="130">
        <f>SUM(H37,H39)</f>
        <v>2128093000</v>
      </c>
    </row>
    <row r="42" spans="1:8" ht="13.5" thickTop="1" x14ac:dyDescent="0.3">
      <c r="A42" s="112"/>
      <c r="D42" s="134"/>
      <c r="E42" s="134"/>
    </row>
    <row r="43" spans="1:8" x14ac:dyDescent="0.3">
      <c r="D43" s="134"/>
      <c r="E43" s="134"/>
    </row>
    <row r="44" spans="1:8" x14ac:dyDescent="0.3">
      <c r="D44" s="134"/>
      <c r="E44" s="134"/>
    </row>
  </sheetData>
  <mergeCells count="5">
    <mergeCell ref="A1:E1"/>
    <mergeCell ref="A2:E2"/>
    <mergeCell ref="A3:E3"/>
    <mergeCell ref="A4:E4"/>
    <mergeCell ref="A5:E5"/>
  </mergeCells>
  <phoneticPr fontId="0" type="noConversion"/>
  <printOptions horizontalCentered="1"/>
  <pageMargins left="0.7" right="0.7" top="0.75" bottom="0.75" header="0.3" footer="0.3"/>
  <pageSetup scale="91" orientation="landscape" horizontalDpi="1200" verticalDpi="1200" r:id="rId1"/>
  <headerFooter alignWithMargins="0">
    <oddHeader>&amp;R2014 Sales of Asset Filing
Advice 2014-xx
Page &amp;P of &amp;N</oddHeader>
    <oddFooter>&amp;L&amp;F
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N138"/>
  <sheetViews>
    <sheetView zoomScale="90" zoomScaleNormal="90" workbookViewId="0">
      <pane xSplit="5" ySplit="5" topLeftCell="F117" activePane="bottomRight" state="frozen"/>
      <selection sqref="A1:O21"/>
      <selection pane="topRight" sqref="A1:O21"/>
      <selection pane="bottomLeft" sqref="A1:O21"/>
      <selection pane="bottomRight" sqref="A1:O21"/>
    </sheetView>
  </sheetViews>
  <sheetFormatPr defaultColWidth="9.1796875" defaultRowHeight="13" x14ac:dyDescent="0.3"/>
  <cols>
    <col min="1" max="1" width="5" style="226" bestFit="1" customWidth="1"/>
    <col min="2" max="2" width="10.7265625" style="8" bestFit="1" customWidth="1"/>
    <col min="3" max="3" width="10.453125" style="8" bestFit="1" customWidth="1"/>
    <col min="4" max="4" width="25.54296875" style="8" bestFit="1" customWidth="1"/>
    <col min="5" max="5" width="14.26953125" style="8" bestFit="1" customWidth="1"/>
    <col min="6" max="6" width="10.7265625" style="8" bestFit="1" customWidth="1"/>
    <col min="7" max="7" width="8.7265625" style="8" customWidth="1"/>
    <col min="8" max="8" width="15.54296875" style="8" bestFit="1" customWidth="1"/>
    <col min="9" max="9" width="12.26953125" style="8" bestFit="1" customWidth="1"/>
    <col min="10" max="10" width="12" style="8" bestFit="1" customWidth="1"/>
    <col min="11" max="12" width="10.81640625" style="8" bestFit="1" customWidth="1"/>
    <col min="13" max="13" width="16.26953125" style="8" bestFit="1" customWidth="1"/>
    <col min="14" max="16384" width="9.1796875" style="8"/>
  </cols>
  <sheetData>
    <row r="1" spans="1:14" x14ac:dyDescent="0.3">
      <c r="A1" s="356" t="s">
        <v>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88"/>
    </row>
    <row r="2" spans="1:14" x14ac:dyDescent="0.3">
      <c r="A2" s="358" t="s">
        <v>153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77"/>
    </row>
    <row r="3" spans="1:14" ht="13.5" thickBot="1" x14ac:dyDescent="0.35">
      <c r="A3" s="19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7"/>
    </row>
    <row r="4" spans="1:14" s="201" customFormat="1" ht="65.5" thickBot="1" x14ac:dyDescent="0.35">
      <c r="A4" s="196" t="s">
        <v>4</v>
      </c>
      <c r="B4" s="197" t="s">
        <v>0</v>
      </c>
      <c r="C4" s="198" t="s">
        <v>5</v>
      </c>
      <c r="D4" s="198" t="s">
        <v>6</v>
      </c>
      <c r="E4" s="198" t="s">
        <v>7</v>
      </c>
      <c r="F4" s="198" t="s">
        <v>9</v>
      </c>
      <c r="G4" s="198" t="s">
        <v>8</v>
      </c>
      <c r="H4" s="198" t="s">
        <v>10</v>
      </c>
      <c r="I4" s="197" t="s">
        <v>11</v>
      </c>
      <c r="J4" s="198" t="s">
        <v>12</v>
      </c>
      <c r="K4" s="199" t="s">
        <v>384</v>
      </c>
      <c r="L4" s="197" t="s">
        <v>324</v>
      </c>
      <c r="M4" s="197" t="s">
        <v>333</v>
      </c>
      <c r="N4" s="200"/>
    </row>
    <row r="5" spans="1:14" s="201" customFormat="1" ht="26" x14ac:dyDescent="0.3">
      <c r="A5" s="202"/>
      <c r="B5" s="203"/>
      <c r="C5" s="203"/>
      <c r="D5" s="203"/>
      <c r="E5" s="204" t="s">
        <v>154</v>
      </c>
      <c r="F5" s="204" t="s">
        <v>155</v>
      </c>
      <c r="G5" s="204" t="s">
        <v>156</v>
      </c>
      <c r="H5" s="204" t="s">
        <v>157</v>
      </c>
      <c r="I5" s="204" t="s">
        <v>158</v>
      </c>
      <c r="J5" s="204" t="s">
        <v>159</v>
      </c>
      <c r="K5" s="205" t="s">
        <v>160</v>
      </c>
      <c r="L5" s="204" t="s">
        <v>161</v>
      </c>
      <c r="M5" s="204" t="s">
        <v>162</v>
      </c>
      <c r="N5" s="200"/>
    </row>
    <row r="6" spans="1:14" s="16" customFormat="1" x14ac:dyDescent="0.3">
      <c r="A6" s="206"/>
      <c r="B6" s="17"/>
      <c r="C6" s="17"/>
      <c r="D6" s="18"/>
      <c r="E6" s="18"/>
      <c r="F6" s="18"/>
      <c r="G6" s="18"/>
      <c r="H6" s="18"/>
      <c r="I6" s="17"/>
      <c r="J6" s="17"/>
      <c r="K6" s="207"/>
      <c r="L6" s="17"/>
      <c r="M6" s="17"/>
      <c r="N6" s="83"/>
    </row>
    <row r="7" spans="1:14" x14ac:dyDescent="0.3">
      <c r="A7" s="313">
        <f>ROW(A1)</f>
        <v>1</v>
      </c>
      <c r="B7" s="7">
        <v>3</v>
      </c>
      <c r="C7" s="7" t="s">
        <v>13</v>
      </c>
      <c r="D7" s="6" t="s">
        <v>14</v>
      </c>
      <c r="E7" s="208">
        <v>22</v>
      </c>
      <c r="F7" s="66">
        <f t="shared" ref="F7:F59" si="0">+G7-E7</f>
        <v>6</v>
      </c>
      <c r="G7" s="66">
        <v>28</v>
      </c>
      <c r="H7" s="66">
        <v>350</v>
      </c>
      <c r="I7" s="66">
        <f>ROUND(+G7*H7/1000,0)</f>
        <v>10</v>
      </c>
      <c r="J7" s="209">
        <v>-1.3916666666666322E-2</v>
      </c>
      <c r="K7" s="210">
        <f>ROUND(+$I7*J7,2)</f>
        <v>-0.14000000000000001</v>
      </c>
      <c r="L7" s="103">
        <v>59</v>
      </c>
      <c r="M7" s="67">
        <f t="shared" ref="M7:M59" si="1">+L7*K7*12</f>
        <v>-99.120000000000019</v>
      </c>
      <c r="N7" s="77"/>
    </row>
    <row r="8" spans="1:14" x14ac:dyDescent="0.3">
      <c r="A8" s="313">
        <f>ROW(A2)</f>
        <v>2</v>
      </c>
      <c r="B8" s="7">
        <v>50</v>
      </c>
      <c r="C8" s="7" t="s">
        <v>13</v>
      </c>
      <c r="D8" s="6" t="s">
        <v>15</v>
      </c>
      <c r="E8" s="208">
        <v>327</v>
      </c>
      <c r="F8" s="66">
        <f t="shared" si="0"/>
        <v>0</v>
      </c>
      <c r="G8" s="66">
        <v>327</v>
      </c>
      <c r="H8" s="66">
        <v>350</v>
      </c>
      <c r="I8" s="66">
        <f t="shared" ref="I8:I59" si="2">ROUND(+G8*H8/1000,0)</f>
        <v>114</v>
      </c>
      <c r="J8" s="19">
        <f>+$J$7</f>
        <v>-1.3916666666666322E-2</v>
      </c>
      <c r="K8" s="210">
        <f t="shared" ref="K8:K52" si="3">ROUND(+$I8*J8,2)</f>
        <v>-1.59</v>
      </c>
      <c r="L8" s="103">
        <v>0</v>
      </c>
      <c r="M8" s="67">
        <f t="shared" si="1"/>
        <v>0</v>
      </c>
      <c r="N8" s="77"/>
    </row>
    <row r="9" spans="1:14" x14ac:dyDescent="0.3">
      <c r="A9" s="313">
        <f t="shared" ref="A9:A72" si="4">ROW(A3)</f>
        <v>3</v>
      </c>
      <c r="B9" s="7">
        <v>50</v>
      </c>
      <c r="C9" s="7" t="s">
        <v>13</v>
      </c>
      <c r="D9" s="6" t="s">
        <v>16</v>
      </c>
      <c r="E9" s="208">
        <v>100</v>
      </c>
      <c r="F9" s="66">
        <f t="shared" si="0"/>
        <v>15</v>
      </c>
      <c r="G9" s="66">
        <v>115</v>
      </c>
      <c r="H9" s="66">
        <v>350</v>
      </c>
      <c r="I9" s="66">
        <f t="shared" si="2"/>
        <v>40</v>
      </c>
      <c r="J9" s="19">
        <f t="shared" ref="J9:J72" si="5">+$J$7</f>
        <v>-1.3916666666666322E-2</v>
      </c>
      <c r="K9" s="210">
        <f t="shared" si="3"/>
        <v>-0.56000000000000005</v>
      </c>
      <c r="L9" s="103">
        <v>22</v>
      </c>
      <c r="M9" s="67">
        <f t="shared" si="1"/>
        <v>-147.84</v>
      </c>
      <c r="N9" s="77"/>
    </row>
    <row r="10" spans="1:14" x14ac:dyDescent="0.3">
      <c r="A10" s="313">
        <f t="shared" si="4"/>
        <v>4</v>
      </c>
      <c r="B10" s="7">
        <v>50</v>
      </c>
      <c r="C10" s="7" t="s">
        <v>13</v>
      </c>
      <c r="D10" s="6" t="s">
        <v>16</v>
      </c>
      <c r="E10" s="208">
        <v>175</v>
      </c>
      <c r="F10" s="66">
        <f t="shared" si="0"/>
        <v>18</v>
      </c>
      <c r="G10" s="66">
        <v>193</v>
      </c>
      <c r="H10" s="66">
        <v>350</v>
      </c>
      <c r="I10" s="66">
        <f t="shared" si="2"/>
        <v>68</v>
      </c>
      <c r="J10" s="19">
        <f t="shared" si="5"/>
        <v>-1.3916666666666322E-2</v>
      </c>
      <c r="K10" s="210">
        <f t="shared" si="3"/>
        <v>-0.95</v>
      </c>
      <c r="L10" s="103">
        <v>133</v>
      </c>
      <c r="M10" s="67">
        <f t="shared" si="1"/>
        <v>-1516.1999999999998</v>
      </c>
      <c r="N10" s="77"/>
    </row>
    <row r="11" spans="1:14" x14ac:dyDescent="0.3">
      <c r="A11" s="313">
        <f t="shared" si="4"/>
        <v>5</v>
      </c>
      <c r="B11" s="7">
        <v>50</v>
      </c>
      <c r="C11" s="7" t="s">
        <v>13</v>
      </c>
      <c r="D11" s="6" t="s">
        <v>16</v>
      </c>
      <c r="E11" s="208">
        <v>400</v>
      </c>
      <c r="F11" s="66">
        <f t="shared" si="0"/>
        <v>30</v>
      </c>
      <c r="G11" s="66">
        <v>430</v>
      </c>
      <c r="H11" s="66">
        <v>350</v>
      </c>
      <c r="I11" s="66">
        <f t="shared" si="2"/>
        <v>151</v>
      </c>
      <c r="J11" s="19">
        <f t="shared" si="5"/>
        <v>-1.3916666666666322E-2</v>
      </c>
      <c r="K11" s="210">
        <f t="shared" si="3"/>
        <v>-2.1</v>
      </c>
      <c r="L11" s="103">
        <v>121</v>
      </c>
      <c r="M11" s="67">
        <f t="shared" si="1"/>
        <v>-3049.2000000000003</v>
      </c>
      <c r="N11" s="77"/>
    </row>
    <row r="12" spans="1:14" x14ac:dyDescent="0.3">
      <c r="A12" s="313">
        <f t="shared" si="4"/>
        <v>6</v>
      </c>
      <c r="B12" s="7">
        <v>50</v>
      </c>
      <c r="C12" s="7" t="s">
        <v>13</v>
      </c>
      <c r="D12" s="6" t="s">
        <v>16</v>
      </c>
      <c r="E12" s="208">
        <v>700</v>
      </c>
      <c r="F12" s="66">
        <f t="shared" si="0"/>
        <v>80</v>
      </c>
      <c r="G12" s="66">
        <v>780</v>
      </c>
      <c r="H12" s="66">
        <v>350</v>
      </c>
      <c r="I12" s="66">
        <f t="shared" si="2"/>
        <v>273</v>
      </c>
      <c r="J12" s="19">
        <f t="shared" si="5"/>
        <v>-1.3916666666666322E-2</v>
      </c>
      <c r="K12" s="210">
        <f t="shared" si="3"/>
        <v>-3.8</v>
      </c>
      <c r="L12" s="103">
        <v>0</v>
      </c>
      <c r="M12" s="67">
        <f t="shared" si="1"/>
        <v>0</v>
      </c>
      <c r="N12" s="77"/>
    </row>
    <row r="13" spans="1:14" x14ac:dyDescent="0.3">
      <c r="A13" s="313">
        <f t="shared" si="4"/>
        <v>7</v>
      </c>
      <c r="B13" s="7">
        <v>50</v>
      </c>
      <c r="C13" s="7" t="s">
        <v>13</v>
      </c>
      <c r="D13" s="6" t="s">
        <v>16</v>
      </c>
      <c r="E13" s="208">
        <v>1000</v>
      </c>
      <c r="F13" s="66">
        <f t="shared" si="0"/>
        <v>102</v>
      </c>
      <c r="G13" s="66">
        <v>1102</v>
      </c>
      <c r="H13" s="66">
        <v>350</v>
      </c>
      <c r="I13" s="66">
        <f t="shared" si="2"/>
        <v>386</v>
      </c>
      <c r="J13" s="19">
        <f t="shared" si="5"/>
        <v>-1.3916666666666322E-2</v>
      </c>
      <c r="K13" s="210">
        <f t="shared" si="3"/>
        <v>-5.37</v>
      </c>
      <c r="L13" s="103">
        <v>1</v>
      </c>
      <c r="M13" s="67">
        <f t="shared" si="1"/>
        <v>-64.44</v>
      </c>
      <c r="N13" s="77"/>
    </row>
    <row r="14" spans="1:14" x14ac:dyDescent="0.3">
      <c r="A14" s="313">
        <f t="shared" si="4"/>
        <v>8</v>
      </c>
      <c r="B14" s="7">
        <v>52</v>
      </c>
      <c r="C14" s="7" t="s">
        <v>13</v>
      </c>
      <c r="D14" s="6" t="s">
        <v>17</v>
      </c>
      <c r="E14" s="208">
        <v>70</v>
      </c>
      <c r="F14" s="66">
        <f>+G14-E14</f>
        <v>13</v>
      </c>
      <c r="G14" s="66">
        <v>83</v>
      </c>
      <c r="H14" s="66">
        <v>350</v>
      </c>
      <c r="I14" s="66">
        <f>ROUND(+G14*H14/1000,0)</f>
        <v>29</v>
      </c>
      <c r="J14" s="19">
        <f t="shared" si="5"/>
        <v>-1.3916666666666322E-2</v>
      </c>
      <c r="K14" s="210">
        <f t="shared" si="3"/>
        <v>-0.4</v>
      </c>
      <c r="L14" s="103">
        <v>65</v>
      </c>
      <c r="M14" s="67">
        <f t="shared" si="1"/>
        <v>-312</v>
      </c>
      <c r="N14" s="77"/>
    </row>
    <row r="15" spans="1:14" x14ac:dyDescent="0.3">
      <c r="A15" s="313">
        <f t="shared" si="4"/>
        <v>9</v>
      </c>
      <c r="B15" s="7">
        <v>52</v>
      </c>
      <c r="C15" s="7" t="s">
        <v>13</v>
      </c>
      <c r="D15" s="6" t="s">
        <v>17</v>
      </c>
      <c r="E15" s="208">
        <v>100</v>
      </c>
      <c r="F15" s="66">
        <f>+G15-E15</f>
        <v>17</v>
      </c>
      <c r="G15" s="66">
        <v>117</v>
      </c>
      <c r="H15" s="66">
        <v>350</v>
      </c>
      <c r="I15" s="66">
        <f>ROUND(+G15*H15/1000,0)</f>
        <v>41</v>
      </c>
      <c r="J15" s="19">
        <f t="shared" si="5"/>
        <v>-1.3916666666666322E-2</v>
      </c>
      <c r="K15" s="210">
        <f t="shared" si="3"/>
        <v>-0.56999999999999995</v>
      </c>
      <c r="L15" s="6"/>
      <c r="M15" s="67">
        <f t="shared" si="1"/>
        <v>0</v>
      </c>
      <c r="N15" s="77"/>
    </row>
    <row r="16" spans="1:14" x14ac:dyDescent="0.3">
      <c r="A16" s="313">
        <f t="shared" si="4"/>
        <v>10</v>
      </c>
      <c r="B16" s="7">
        <v>52</v>
      </c>
      <c r="C16" s="7" t="s">
        <v>13</v>
      </c>
      <c r="D16" s="6" t="s">
        <v>17</v>
      </c>
      <c r="E16" s="208">
        <v>150</v>
      </c>
      <c r="F16" s="66">
        <f>+G16-E16</f>
        <v>21</v>
      </c>
      <c r="G16" s="66">
        <v>171</v>
      </c>
      <c r="H16" s="66">
        <v>350</v>
      </c>
      <c r="I16" s="66">
        <f>ROUND(+G16*H16/1000,0)</f>
        <v>60</v>
      </c>
      <c r="J16" s="19">
        <f t="shared" si="5"/>
        <v>-1.3916666666666322E-2</v>
      </c>
      <c r="K16" s="210">
        <f t="shared" si="3"/>
        <v>-0.83</v>
      </c>
      <c r="L16" s="103">
        <v>196</v>
      </c>
      <c r="M16" s="67">
        <f t="shared" si="1"/>
        <v>-1952.1599999999999</v>
      </c>
      <c r="N16" s="77"/>
    </row>
    <row r="17" spans="1:14" x14ac:dyDescent="0.3">
      <c r="A17" s="313">
        <f t="shared" si="4"/>
        <v>11</v>
      </c>
      <c r="B17" s="7">
        <v>52</v>
      </c>
      <c r="C17" s="7" t="s">
        <v>13</v>
      </c>
      <c r="D17" s="6" t="s">
        <v>17</v>
      </c>
      <c r="E17" s="208">
        <v>175</v>
      </c>
      <c r="F17" s="66">
        <f t="shared" si="0"/>
        <v>36</v>
      </c>
      <c r="G17" s="66">
        <v>211</v>
      </c>
      <c r="H17" s="66">
        <v>350</v>
      </c>
      <c r="I17" s="66">
        <f t="shared" si="2"/>
        <v>74</v>
      </c>
      <c r="J17" s="19">
        <f t="shared" si="5"/>
        <v>-1.3916666666666322E-2</v>
      </c>
      <c r="K17" s="210">
        <f t="shared" si="3"/>
        <v>-1.03</v>
      </c>
      <c r="L17" s="103">
        <v>222</v>
      </c>
      <c r="M17" s="67">
        <f t="shared" si="1"/>
        <v>-2743.92</v>
      </c>
      <c r="N17" s="77"/>
    </row>
    <row r="18" spans="1:14" x14ac:dyDescent="0.3">
      <c r="A18" s="313">
        <f t="shared" si="4"/>
        <v>12</v>
      </c>
      <c r="B18" s="7">
        <v>52</v>
      </c>
      <c r="C18" s="7" t="s">
        <v>13</v>
      </c>
      <c r="D18" s="6" t="s">
        <v>17</v>
      </c>
      <c r="E18" s="208">
        <v>250</v>
      </c>
      <c r="F18" s="66">
        <f t="shared" si="0"/>
        <v>39</v>
      </c>
      <c r="G18" s="66">
        <v>289</v>
      </c>
      <c r="H18" s="66">
        <v>350</v>
      </c>
      <c r="I18" s="66">
        <f t="shared" si="2"/>
        <v>101</v>
      </c>
      <c r="J18" s="19">
        <f t="shared" si="5"/>
        <v>-1.3916666666666322E-2</v>
      </c>
      <c r="K18" s="210">
        <f t="shared" si="3"/>
        <v>-1.41</v>
      </c>
      <c r="L18" s="103">
        <v>61</v>
      </c>
      <c r="M18" s="67">
        <f t="shared" si="1"/>
        <v>-1032.1199999999999</v>
      </c>
      <c r="N18" s="77"/>
    </row>
    <row r="19" spans="1:14" x14ac:dyDescent="0.3">
      <c r="A19" s="313">
        <f t="shared" si="4"/>
        <v>13</v>
      </c>
      <c r="B19" s="7">
        <v>52</v>
      </c>
      <c r="C19" s="7" t="s">
        <v>13</v>
      </c>
      <c r="D19" s="6" t="s">
        <v>17</v>
      </c>
      <c r="E19" s="208">
        <v>400</v>
      </c>
      <c r="F19" s="66">
        <f t="shared" si="0"/>
        <v>52</v>
      </c>
      <c r="G19" s="66">
        <v>452</v>
      </c>
      <c r="H19" s="66">
        <v>350</v>
      </c>
      <c r="I19" s="66">
        <f t="shared" si="2"/>
        <v>158</v>
      </c>
      <c r="J19" s="19">
        <f t="shared" si="5"/>
        <v>-1.3916666666666322E-2</v>
      </c>
      <c r="K19" s="210">
        <f t="shared" si="3"/>
        <v>-2.2000000000000002</v>
      </c>
      <c r="L19" s="103">
        <v>61</v>
      </c>
      <c r="M19" s="67">
        <f t="shared" si="1"/>
        <v>-1610.4</v>
      </c>
      <c r="N19" s="77"/>
    </row>
    <row r="20" spans="1:14" x14ac:dyDescent="0.3">
      <c r="A20" s="313">
        <f t="shared" si="4"/>
        <v>14</v>
      </c>
      <c r="B20" s="7">
        <v>52</v>
      </c>
      <c r="C20" s="7" t="s">
        <v>13</v>
      </c>
      <c r="D20" s="6" t="s">
        <v>17</v>
      </c>
      <c r="E20" s="208">
        <v>1000</v>
      </c>
      <c r="F20" s="66">
        <f t="shared" si="0"/>
        <v>80</v>
      </c>
      <c r="G20" s="66">
        <v>1080</v>
      </c>
      <c r="H20" s="66">
        <v>350</v>
      </c>
      <c r="I20" s="66">
        <f t="shared" si="2"/>
        <v>378</v>
      </c>
      <c r="J20" s="19">
        <f t="shared" si="5"/>
        <v>-1.3916666666666322E-2</v>
      </c>
      <c r="K20" s="210">
        <f t="shared" si="3"/>
        <v>-5.26</v>
      </c>
      <c r="L20" s="103">
        <v>18</v>
      </c>
      <c r="M20" s="67">
        <f t="shared" si="1"/>
        <v>-1136.1599999999999</v>
      </c>
      <c r="N20" s="77"/>
    </row>
    <row r="21" spans="1:14" x14ac:dyDescent="0.3">
      <c r="A21" s="313">
        <f t="shared" si="4"/>
        <v>15</v>
      </c>
      <c r="B21" s="7">
        <v>52</v>
      </c>
      <c r="C21" s="7" t="s">
        <v>13</v>
      </c>
      <c r="D21" s="6" t="s">
        <v>18</v>
      </c>
      <c r="E21" s="208">
        <v>50</v>
      </c>
      <c r="F21" s="66">
        <f t="shared" si="0"/>
        <v>8</v>
      </c>
      <c r="G21" s="66">
        <v>58</v>
      </c>
      <c r="H21" s="66">
        <v>350</v>
      </c>
      <c r="I21" s="66">
        <f t="shared" si="2"/>
        <v>20</v>
      </c>
      <c r="J21" s="19">
        <f t="shared" si="5"/>
        <v>-1.3916666666666322E-2</v>
      </c>
      <c r="K21" s="210">
        <f t="shared" si="3"/>
        <v>-0.28000000000000003</v>
      </c>
      <c r="L21" s="103">
        <v>0</v>
      </c>
      <c r="M21" s="67">
        <f t="shared" si="1"/>
        <v>0</v>
      </c>
      <c r="N21" s="77"/>
    </row>
    <row r="22" spans="1:14" x14ac:dyDescent="0.3">
      <c r="A22" s="313">
        <f t="shared" si="4"/>
        <v>16</v>
      </c>
      <c r="B22" s="7">
        <v>52</v>
      </c>
      <c r="C22" s="7" t="s">
        <v>13</v>
      </c>
      <c r="D22" s="6" t="s">
        <v>18</v>
      </c>
      <c r="E22" s="208">
        <v>70</v>
      </c>
      <c r="F22" s="66">
        <f t="shared" si="0"/>
        <v>13</v>
      </c>
      <c r="G22" s="66">
        <v>83</v>
      </c>
      <c r="H22" s="66">
        <v>350</v>
      </c>
      <c r="I22" s="66">
        <f t="shared" si="2"/>
        <v>29</v>
      </c>
      <c r="J22" s="19">
        <f t="shared" si="5"/>
        <v>-1.3916666666666322E-2</v>
      </c>
      <c r="K22" s="210">
        <f t="shared" si="3"/>
        <v>-0.4</v>
      </c>
      <c r="L22" s="103">
        <v>626</v>
      </c>
      <c r="M22" s="67">
        <f t="shared" si="1"/>
        <v>-3004.8</v>
      </c>
      <c r="N22" s="77"/>
    </row>
    <row r="23" spans="1:14" x14ac:dyDescent="0.3">
      <c r="A23" s="313">
        <f t="shared" si="4"/>
        <v>17</v>
      </c>
      <c r="B23" s="7">
        <v>52</v>
      </c>
      <c r="C23" s="7" t="s">
        <v>13</v>
      </c>
      <c r="D23" s="6" t="s">
        <v>18</v>
      </c>
      <c r="E23" s="208">
        <v>100</v>
      </c>
      <c r="F23" s="66">
        <f t="shared" si="0"/>
        <v>17</v>
      </c>
      <c r="G23" s="66">
        <v>117</v>
      </c>
      <c r="H23" s="66">
        <v>350</v>
      </c>
      <c r="I23" s="66">
        <f t="shared" si="2"/>
        <v>41</v>
      </c>
      <c r="J23" s="19">
        <f t="shared" si="5"/>
        <v>-1.3916666666666322E-2</v>
      </c>
      <c r="K23" s="210">
        <f t="shared" si="3"/>
        <v>-0.56999999999999995</v>
      </c>
      <c r="L23" s="103">
        <v>10055</v>
      </c>
      <c r="M23" s="67">
        <f t="shared" si="1"/>
        <v>-68776.2</v>
      </c>
      <c r="N23" s="77"/>
    </row>
    <row r="24" spans="1:14" x14ac:dyDescent="0.3">
      <c r="A24" s="313">
        <f t="shared" si="4"/>
        <v>18</v>
      </c>
      <c r="B24" s="7">
        <v>52</v>
      </c>
      <c r="C24" s="7" t="s">
        <v>13</v>
      </c>
      <c r="D24" s="6" t="s">
        <v>18</v>
      </c>
      <c r="E24" s="208">
        <v>150</v>
      </c>
      <c r="F24" s="66">
        <f t="shared" si="0"/>
        <v>21</v>
      </c>
      <c r="G24" s="66">
        <v>171</v>
      </c>
      <c r="H24" s="66">
        <v>350</v>
      </c>
      <c r="I24" s="66">
        <f>ROUND(+G24*H24/1000,0)</f>
        <v>60</v>
      </c>
      <c r="J24" s="19">
        <f t="shared" si="5"/>
        <v>-1.3916666666666322E-2</v>
      </c>
      <c r="K24" s="210">
        <f t="shared" si="3"/>
        <v>-0.83</v>
      </c>
      <c r="L24" s="103">
        <v>4377</v>
      </c>
      <c r="M24" s="67">
        <f t="shared" si="1"/>
        <v>-43594.92</v>
      </c>
      <c r="N24" s="77"/>
    </row>
    <row r="25" spans="1:14" x14ac:dyDescent="0.3">
      <c r="A25" s="313">
        <f t="shared" si="4"/>
        <v>19</v>
      </c>
      <c r="B25" s="7">
        <v>52</v>
      </c>
      <c r="C25" s="7" t="s">
        <v>13</v>
      </c>
      <c r="D25" s="6" t="s">
        <v>18</v>
      </c>
      <c r="E25" s="208">
        <v>200</v>
      </c>
      <c r="F25" s="66">
        <f t="shared" si="0"/>
        <v>27</v>
      </c>
      <c r="G25" s="66">
        <v>227</v>
      </c>
      <c r="H25" s="66">
        <v>350</v>
      </c>
      <c r="I25" s="66">
        <f t="shared" si="2"/>
        <v>79</v>
      </c>
      <c r="J25" s="19">
        <f t="shared" si="5"/>
        <v>-1.3916666666666322E-2</v>
      </c>
      <c r="K25" s="210">
        <f t="shared" si="3"/>
        <v>-1.1000000000000001</v>
      </c>
      <c r="L25" s="103">
        <v>1158</v>
      </c>
      <c r="M25" s="67">
        <f t="shared" si="1"/>
        <v>-15285.600000000002</v>
      </c>
      <c r="N25" s="77"/>
    </row>
    <row r="26" spans="1:14" x14ac:dyDescent="0.3">
      <c r="A26" s="313">
        <f t="shared" si="4"/>
        <v>20</v>
      </c>
      <c r="B26" s="7">
        <v>52</v>
      </c>
      <c r="C26" s="7" t="s">
        <v>13</v>
      </c>
      <c r="D26" s="6" t="s">
        <v>18</v>
      </c>
      <c r="E26" s="208">
        <v>250</v>
      </c>
      <c r="F26" s="66">
        <f t="shared" si="0"/>
        <v>31</v>
      </c>
      <c r="G26" s="66">
        <v>281</v>
      </c>
      <c r="H26" s="66">
        <v>350</v>
      </c>
      <c r="I26" s="66">
        <f t="shared" si="2"/>
        <v>98</v>
      </c>
      <c r="J26" s="19">
        <f t="shared" si="5"/>
        <v>-1.3916666666666322E-2</v>
      </c>
      <c r="K26" s="210">
        <f t="shared" si="3"/>
        <v>-1.36</v>
      </c>
      <c r="L26" s="103">
        <v>1378</v>
      </c>
      <c r="M26" s="67">
        <f t="shared" si="1"/>
        <v>-22488.960000000003</v>
      </c>
      <c r="N26" s="77"/>
    </row>
    <row r="27" spans="1:14" x14ac:dyDescent="0.3">
      <c r="A27" s="313">
        <f t="shared" si="4"/>
        <v>21</v>
      </c>
      <c r="B27" s="7">
        <v>52</v>
      </c>
      <c r="C27" s="7" t="s">
        <v>13</v>
      </c>
      <c r="D27" s="6" t="s">
        <v>18</v>
      </c>
      <c r="E27" s="208">
        <v>310</v>
      </c>
      <c r="F27" s="66">
        <f t="shared" si="0"/>
        <v>73</v>
      </c>
      <c r="G27" s="66">
        <v>383</v>
      </c>
      <c r="H27" s="66">
        <v>350</v>
      </c>
      <c r="I27" s="66">
        <f t="shared" si="2"/>
        <v>134</v>
      </c>
      <c r="J27" s="19">
        <f t="shared" si="5"/>
        <v>-1.3916666666666322E-2</v>
      </c>
      <c r="K27" s="210">
        <f t="shared" si="3"/>
        <v>-1.86</v>
      </c>
      <c r="L27" s="103">
        <v>153</v>
      </c>
      <c r="M27" s="67">
        <f t="shared" si="1"/>
        <v>-3414.9600000000005</v>
      </c>
      <c r="N27" s="77"/>
    </row>
    <row r="28" spans="1:14" x14ac:dyDescent="0.3">
      <c r="A28" s="313">
        <f t="shared" si="4"/>
        <v>22</v>
      </c>
      <c r="B28" s="7">
        <v>52</v>
      </c>
      <c r="C28" s="7" t="s">
        <v>13</v>
      </c>
      <c r="D28" s="6" t="s">
        <v>18</v>
      </c>
      <c r="E28" s="208">
        <v>400</v>
      </c>
      <c r="F28" s="66">
        <f t="shared" si="0"/>
        <v>38</v>
      </c>
      <c r="G28" s="66">
        <v>438</v>
      </c>
      <c r="H28" s="66">
        <v>350</v>
      </c>
      <c r="I28" s="66">
        <f t="shared" si="2"/>
        <v>153</v>
      </c>
      <c r="J28" s="19">
        <f t="shared" si="5"/>
        <v>-1.3916666666666322E-2</v>
      </c>
      <c r="K28" s="210">
        <f t="shared" si="3"/>
        <v>-2.13</v>
      </c>
      <c r="L28" s="103">
        <v>546</v>
      </c>
      <c r="M28" s="67">
        <f t="shared" si="1"/>
        <v>-13955.76</v>
      </c>
      <c r="N28" s="77"/>
    </row>
    <row r="29" spans="1:14" x14ac:dyDescent="0.3">
      <c r="A29" s="313">
        <f t="shared" si="4"/>
        <v>23</v>
      </c>
      <c r="B29" s="7">
        <v>53</v>
      </c>
      <c r="C29" s="7" t="s">
        <v>13</v>
      </c>
      <c r="D29" s="6" t="s">
        <v>18</v>
      </c>
      <c r="E29" s="208">
        <v>50</v>
      </c>
      <c r="F29" s="66">
        <f t="shared" si="0"/>
        <v>8</v>
      </c>
      <c r="G29" s="66">
        <v>58</v>
      </c>
      <c r="H29" s="66">
        <v>350</v>
      </c>
      <c r="I29" s="66">
        <f t="shared" si="2"/>
        <v>20</v>
      </c>
      <c r="J29" s="19">
        <f t="shared" si="5"/>
        <v>-1.3916666666666322E-2</v>
      </c>
      <c r="K29" s="211">
        <f>+K21</f>
        <v>-0.28000000000000003</v>
      </c>
      <c r="L29" s="103">
        <v>29</v>
      </c>
      <c r="M29" s="67">
        <f t="shared" si="1"/>
        <v>-97.440000000000012</v>
      </c>
      <c r="N29" s="77"/>
    </row>
    <row r="30" spans="1:14" x14ac:dyDescent="0.3">
      <c r="A30" s="313">
        <f t="shared" si="4"/>
        <v>24</v>
      </c>
      <c r="B30" s="7">
        <v>53</v>
      </c>
      <c r="C30" s="7" t="s">
        <v>13</v>
      </c>
      <c r="D30" s="6" t="s">
        <v>18</v>
      </c>
      <c r="E30" s="208">
        <v>70</v>
      </c>
      <c r="F30" s="66">
        <f t="shared" si="0"/>
        <v>13</v>
      </c>
      <c r="G30" s="66">
        <v>83</v>
      </c>
      <c r="H30" s="66">
        <v>350</v>
      </c>
      <c r="I30" s="66">
        <f t="shared" si="2"/>
        <v>29</v>
      </c>
      <c r="J30" s="19">
        <f t="shared" si="5"/>
        <v>-1.3916666666666322E-2</v>
      </c>
      <c r="K30" s="211">
        <f t="shared" ref="K30:K36" si="6">+K22</f>
        <v>-0.4</v>
      </c>
      <c r="L30" s="103">
        <v>6319</v>
      </c>
      <c r="M30" s="67">
        <f t="shared" si="1"/>
        <v>-30331.200000000004</v>
      </c>
      <c r="N30" s="77"/>
    </row>
    <row r="31" spans="1:14" x14ac:dyDescent="0.3">
      <c r="A31" s="313">
        <f t="shared" si="4"/>
        <v>25</v>
      </c>
      <c r="B31" s="7">
        <v>53</v>
      </c>
      <c r="C31" s="7" t="s">
        <v>13</v>
      </c>
      <c r="D31" s="6" t="s">
        <v>18</v>
      </c>
      <c r="E31" s="208">
        <v>100</v>
      </c>
      <c r="F31" s="66">
        <f t="shared" si="0"/>
        <v>17</v>
      </c>
      <c r="G31" s="66">
        <v>117</v>
      </c>
      <c r="H31" s="66">
        <v>350</v>
      </c>
      <c r="I31" s="66">
        <f t="shared" si="2"/>
        <v>41</v>
      </c>
      <c r="J31" s="19">
        <f t="shared" si="5"/>
        <v>-1.3916666666666322E-2</v>
      </c>
      <c r="K31" s="211">
        <f t="shared" si="6"/>
        <v>-0.56999999999999995</v>
      </c>
      <c r="L31" s="103">
        <v>45333</v>
      </c>
      <c r="M31" s="67">
        <f t="shared" si="1"/>
        <v>-310077.71999999997</v>
      </c>
      <c r="N31" s="77"/>
    </row>
    <row r="32" spans="1:14" x14ac:dyDescent="0.3">
      <c r="A32" s="313">
        <f t="shared" si="4"/>
        <v>26</v>
      </c>
      <c r="B32" s="7">
        <v>53</v>
      </c>
      <c r="C32" s="7" t="s">
        <v>13</v>
      </c>
      <c r="D32" s="6" t="s">
        <v>18</v>
      </c>
      <c r="E32" s="208">
        <v>150</v>
      </c>
      <c r="F32" s="66">
        <f t="shared" si="0"/>
        <v>21</v>
      </c>
      <c r="G32" s="66">
        <v>171</v>
      </c>
      <c r="H32" s="66">
        <v>350</v>
      </c>
      <c r="I32" s="66">
        <f t="shared" si="2"/>
        <v>60</v>
      </c>
      <c r="J32" s="19">
        <f t="shared" si="5"/>
        <v>-1.3916666666666322E-2</v>
      </c>
      <c r="K32" s="211">
        <f t="shared" si="6"/>
        <v>-0.83</v>
      </c>
      <c r="L32" s="103">
        <v>5803</v>
      </c>
      <c r="M32" s="67">
        <f t="shared" si="1"/>
        <v>-57797.88</v>
      </c>
      <c r="N32" s="77"/>
    </row>
    <row r="33" spans="1:14" x14ac:dyDescent="0.3">
      <c r="A33" s="313">
        <f t="shared" si="4"/>
        <v>27</v>
      </c>
      <c r="B33" s="7">
        <v>53</v>
      </c>
      <c r="C33" s="7" t="s">
        <v>13</v>
      </c>
      <c r="D33" s="6" t="s">
        <v>18</v>
      </c>
      <c r="E33" s="208">
        <v>200</v>
      </c>
      <c r="F33" s="66">
        <f t="shared" si="0"/>
        <v>27</v>
      </c>
      <c r="G33" s="66">
        <v>227</v>
      </c>
      <c r="H33" s="66">
        <v>350</v>
      </c>
      <c r="I33" s="66">
        <f t="shared" si="2"/>
        <v>79</v>
      </c>
      <c r="J33" s="19">
        <f t="shared" si="5"/>
        <v>-1.3916666666666322E-2</v>
      </c>
      <c r="K33" s="211">
        <f t="shared" si="6"/>
        <v>-1.1000000000000001</v>
      </c>
      <c r="L33" s="103">
        <v>8415</v>
      </c>
      <c r="M33" s="67">
        <f t="shared" si="1"/>
        <v>-111078</v>
      </c>
      <c r="N33" s="77"/>
    </row>
    <row r="34" spans="1:14" x14ac:dyDescent="0.3">
      <c r="A34" s="313">
        <f t="shared" si="4"/>
        <v>28</v>
      </c>
      <c r="B34" s="7">
        <v>53</v>
      </c>
      <c r="C34" s="7" t="s">
        <v>13</v>
      </c>
      <c r="D34" s="6" t="s">
        <v>18</v>
      </c>
      <c r="E34" s="208">
        <v>250</v>
      </c>
      <c r="F34" s="66">
        <f t="shared" si="0"/>
        <v>31</v>
      </c>
      <c r="G34" s="66">
        <v>281</v>
      </c>
      <c r="H34" s="66">
        <v>350</v>
      </c>
      <c r="I34" s="66">
        <f t="shared" si="2"/>
        <v>98</v>
      </c>
      <c r="J34" s="19">
        <f t="shared" si="5"/>
        <v>-1.3916666666666322E-2</v>
      </c>
      <c r="K34" s="211">
        <f t="shared" si="6"/>
        <v>-1.36</v>
      </c>
      <c r="L34" s="103">
        <v>3277</v>
      </c>
      <c r="M34" s="67">
        <f t="shared" si="1"/>
        <v>-53480.639999999999</v>
      </c>
      <c r="N34" s="77"/>
    </row>
    <row r="35" spans="1:14" x14ac:dyDescent="0.3">
      <c r="A35" s="313">
        <f t="shared" si="4"/>
        <v>29</v>
      </c>
      <c r="B35" s="7">
        <v>53</v>
      </c>
      <c r="C35" s="7" t="s">
        <v>13</v>
      </c>
      <c r="D35" s="6" t="s">
        <v>18</v>
      </c>
      <c r="E35" s="208">
        <v>310</v>
      </c>
      <c r="F35" s="66">
        <f t="shared" si="0"/>
        <v>73</v>
      </c>
      <c r="G35" s="66">
        <v>383</v>
      </c>
      <c r="H35" s="66">
        <v>350</v>
      </c>
      <c r="I35" s="66">
        <f t="shared" si="2"/>
        <v>134</v>
      </c>
      <c r="J35" s="19">
        <f t="shared" si="5"/>
        <v>-1.3916666666666322E-2</v>
      </c>
      <c r="K35" s="211">
        <f t="shared" si="6"/>
        <v>-1.86</v>
      </c>
      <c r="L35" s="103">
        <v>57</v>
      </c>
      <c r="M35" s="67">
        <f t="shared" si="1"/>
        <v>-1272.2400000000002</v>
      </c>
      <c r="N35" s="77"/>
    </row>
    <row r="36" spans="1:14" x14ac:dyDescent="0.3">
      <c r="A36" s="313">
        <f t="shared" si="4"/>
        <v>30</v>
      </c>
      <c r="B36" s="7">
        <v>53</v>
      </c>
      <c r="C36" s="7" t="s">
        <v>13</v>
      </c>
      <c r="D36" s="6" t="s">
        <v>18</v>
      </c>
      <c r="E36" s="208">
        <v>400</v>
      </c>
      <c r="F36" s="66">
        <f t="shared" si="0"/>
        <v>38</v>
      </c>
      <c r="G36" s="66">
        <v>438</v>
      </c>
      <c r="H36" s="66">
        <v>350</v>
      </c>
      <c r="I36" s="66">
        <f t="shared" si="2"/>
        <v>153</v>
      </c>
      <c r="J36" s="19">
        <f t="shared" si="5"/>
        <v>-1.3916666666666322E-2</v>
      </c>
      <c r="K36" s="211">
        <f t="shared" si="6"/>
        <v>-2.13</v>
      </c>
      <c r="L36" s="103">
        <v>3090</v>
      </c>
      <c r="M36" s="67">
        <f t="shared" si="1"/>
        <v>-78980.399999999994</v>
      </c>
      <c r="N36" s="77"/>
    </row>
    <row r="37" spans="1:14" x14ac:dyDescent="0.3">
      <c r="A37" s="313">
        <f t="shared" si="4"/>
        <v>31</v>
      </c>
      <c r="B37" s="7">
        <v>53</v>
      </c>
      <c r="C37" s="7" t="s">
        <v>13</v>
      </c>
      <c r="D37" s="6" t="s">
        <v>18</v>
      </c>
      <c r="E37" s="208">
        <v>1000</v>
      </c>
      <c r="F37" s="66">
        <f t="shared" si="0"/>
        <v>102</v>
      </c>
      <c r="G37" s="66">
        <v>1102</v>
      </c>
      <c r="H37" s="66">
        <v>350</v>
      </c>
      <c r="I37" s="66">
        <f t="shared" si="2"/>
        <v>386</v>
      </c>
      <c r="J37" s="19">
        <f t="shared" si="5"/>
        <v>-1.3916666666666322E-2</v>
      </c>
      <c r="K37" s="210">
        <f t="shared" si="3"/>
        <v>-5.37</v>
      </c>
      <c r="L37" s="103">
        <v>1</v>
      </c>
      <c r="M37" s="67">
        <f t="shared" si="1"/>
        <v>-64.44</v>
      </c>
      <c r="N37" s="77"/>
    </row>
    <row r="38" spans="1:14" x14ac:dyDescent="0.3">
      <c r="A38" s="313">
        <f t="shared" si="4"/>
        <v>32</v>
      </c>
      <c r="B38" s="7">
        <v>53</v>
      </c>
      <c r="C38" s="7" t="s">
        <v>13</v>
      </c>
      <c r="D38" s="6" t="s">
        <v>17</v>
      </c>
      <c r="E38" s="208">
        <f t="shared" ref="E38:E43" si="7">+E14</f>
        <v>70</v>
      </c>
      <c r="F38" s="66">
        <f t="shared" si="0"/>
        <v>13</v>
      </c>
      <c r="G38" s="66">
        <f t="shared" ref="G38:G43" si="8">+G14</f>
        <v>83</v>
      </c>
      <c r="H38" s="66">
        <v>350</v>
      </c>
      <c r="I38" s="66">
        <f t="shared" si="2"/>
        <v>29</v>
      </c>
      <c r="J38" s="19">
        <f t="shared" si="5"/>
        <v>-1.3916666666666322E-2</v>
      </c>
      <c r="K38" s="211">
        <f t="shared" ref="K38:K43" si="9">+K14</f>
        <v>-0.4</v>
      </c>
      <c r="L38" s="103">
        <v>0</v>
      </c>
      <c r="M38" s="67">
        <f t="shared" si="1"/>
        <v>0</v>
      </c>
      <c r="N38" s="77"/>
    </row>
    <row r="39" spans="1:14" x14ac:dyDescent="0.3">
      <c r="A39" s="313">
        <f t="shared" si="4"/>
        <v>33</v>
      </c>
      <c r="B39" s="7">
        <v>53</v>
      </c>
      <c r="C39" s="7" t="s">
        <v>13</v>
      </c>
      <c r="D39" s="6" t="s">
        <v>17</v>
      </c>
      <c r="E39" s="208">
        <f t="shared" si="7"/>
        <v>100</v>
      </c>
      <c r="F39" s="66">
        <f t="shared" si="0"/>
        <v>17</v>
      </c>
      <c r="G39" s="66">
        <f t="shared" si="8"/>
        <v>117</v>
      </c>
      <c r="H39" s="66">
        <v>350</v>
      </c>
      <c r="I39" s="66">
        <f t="shared" si="2"/>
        <v>41</v>
      </c>
      <c r="J39" s="19">
        <f t="shared" si="5"/>
        <v>-1.3916666666666322E-2</v>
      </c>
      <c r="K39" s="211">
        <f t="shared" si="9"/>
        <v>-0.56999999999999995</v>
      </c>
      <c r="L39" s="103">
        <v>0</v>
      </c>
      <c r="M39" s="67">
        <f t="shared" si="1"/>
        <v>0</v>
      </c>
      <c r="N39" s="77"/>
    </row>
    <row r="40" spans="1:14" x14ac:dyDescent="0.3">
      <c r="A40" s="313">
        <f t="shared" si="4"/>
        <v>34</v>
      </c>
      <c r="B40" s="7">
        <v>53</v>
      </c>
      <c r="C40" s="7" t="s">
        <v>13</v>
      </c>
      <c r="D40" s="6" t="s">
        <v>17</v>
      </c>
      <c r="E40" s="208">
        <f t="shared" si="7"/>
        <v>150</v>
      </c>
      <c r="F40" s="66">
        <f t="shared" si="0"/>
        <v>21</v>
      </c>
      <c r="G40" s="66">
        <f t="shared" si="8"/>
        <v>171</v>
      </c>
      <c r="H40" s="66">
        <v>350</v>
      </c>
      <c r="I40" s="66">
        <f t="shared" si="2"/>
        <v>60</v>
      </c>
      <c r="J40" s="19">
        <f t="shared" si="5"/>
        <v>-1.3916666666666322E-2</v>
      </c>
      <c r="K40" s="211">
        <f t="shared" si="9"/>
        <v>-0.83</v>
      </c>
      <c r="L40" s="103">
        <v>0</v>
      </c>
      <c r="M40" s="67">
        <f t="shared" si="1"/>
        <v>0</v>
      </c>
      <c r="N40" s="77"/>
    </row>
    <row r="41" spans="1:14" x14ac:dyDescent="0.3">
      <c r="A41" s="313">
        <f t="shared" si="4"/>
        <v>35</v>
      </c>
      <c r="B41" s="7">
        <v>53</v>
      </c>
      <c r="C41" s="7" t="s">
        <v>13</v>
      </c>
      <c r="D41" s="6" t="s">
        <v>17</v>
      </c>
      <c r="E41" s="208">
        <f t="shared" si="7"/>
        <v>175</v>
      </c>
      <c r="F41" s="66">
        <f t="shared" si="0"/>
        <v>36</v>
      </c>
      <c r="G41" s="66">
        <f t="shared" si="8"/>
        <v>211</v>
      </c>
      <c r="H41" s="66">
        <v>350</v>
      </c>
      <c r="I41" s="66">
        <f t="shared" si="2"/>
        <v>74</v>
      </c>
      <c r="J41" s="19">
        <f t="shared" si="5"/>
        <v>-1.3916666666666322E-2</v>
      </c>
      <c r="K41" s="211">
        <f t="shared" si="9"/>
        <v>-1.03</v>
      </c>
      <c r="L41" s="103">
        <v>4</v>
      </c>
      <c r="M41" s="67">
        <f t="shared" si="1"/>
        <v>-49.44</v>
      </c>
      <c r="N41" s="77"/>
    </row>
    <row r="42" spans="1:14" x14ac:dyDescent="0.3">
      <c r="A42" s="313">
        <f t="shared" si="4"/>
        <v>36</v>
      </c>
      <c r="B42" s="7">
        <v>53</v>
      </c>
      <c r="C42" s="7" t="s">
        <v>13</v>
      </c>
      <c r="D42" s="6" t="s">
        <v>17</v>
      </c>
      <c r="E42" s="208">
        <f t="shared" si="7"/>
        <v>250</v>
      </c>
      <c r="F42" s="66">
        <f t="shared" si="0"/>
        <v>39</v>
      </c>
      <c r="G42" s="66">
        <f t="shared" si="8"/>
        <v>289</v>
      </c>
      <c r="H42" s="66">
        <v>350</v>
      </c>
      <c r="I42" s="66">
        <f t="shared" si="2"/>
        <v>101</v>
      </c>
      <c r="J42" s="19">
        <f t="shared" si="5"/>
        <v>-1.3916666666666322E-2</v>
      </c>
      <c r="K42" s="211">
        <f t="shared" si="9"/>
        <v>-1.41</v>
      </c>
      <c r="L42" s="103">
        <v>0</v>
      </c>
      <c r="M42" s="67">
        <f t="shared" si="1"/>
        <v>0</v>
      </c>
      <c r="N42" s="77"/>
    </row>
    <row r="43" spans="1:14" x14ac:dyDescent="0.3">
      <c r="A43" s="313">
        <f t="shared" si="4"/>
        <v>37</v>
      </c>
      <c r="B43" s="7">
        <v>53</v>
      </c>
      <c r="C43" s="7" t="s">
        <v>13</v>
      </c>
      <c r="D43" s="6" t="s">
        <v>17</v>
      </c>
      <c r="E43" s="208">
        <f t="shared" si="7"/>
        <v>400</v>
      </c>
      <c r="F43" s="66">
        <f t="shared" si="0"/>
        <v>52</v>
      </c>
      <c r="G43" s="66">
        <f t="shared" si="8"/>
        <v>452</v>
      </c>
      <c r="H43" s="66">
        <v>350</v>
      </c>
      <c r="I43" s="66">
        <f t="shared" si="2"/>
        <v>158</v>
      </c>
      <c r="J43" s="19">
        <f t="shared" si="5"/>
        <v>-1.3916666666666322E-2</v>
      </c>
      <c r="K43" s="211">
        <f t="shared" si="9"/>
        <v>-2.2000000000000002</v>
      </c>
      <c r="L43" s="103">
        <v>0</v>
      </c>
      <c r="M43" s="67">
        <f t="shared" si="1"/>
        <v>0</v>
      </c>
      <c r="N43" s="77"/>
    </row>
    <row r="44" spans="1:14" x14ac:dyDescent="0.3">
      <c r="A44" s="313">
        <f t="shared" si="4"/>
        <v>38</v>
      </c>
      <c r="B44" s="212">
        <v>54</v>
      </c>
      <c r="C44" s="7" t="s">
        <v>13</v>
      </c>
      <c r="D44" s="213" t="s">
        <v>18</v>
      </c>
      <c r="E44" s="214">
        <v>50</v>
      </c>
      <c r="F44" s="103">
        <f t="shared" si="0"/>
        <v>8</v>
      </c>
      <c r="G44" s="103">
        <v>58</v>
      </c>
      <c r="H44" s="103">
        <v>350</v>
      </c>
      <c r="I44" s="103">
        <f t="shared" si="2"/>
        <v>20</v>
      </c>
      <c r="J44" s="19">
        <f t="shared" si="5"/>
        <v>-1.3916666666666322E-2</v>
      </c>
      <c r="K44" s="211">
        <f>+K21</f>
        <v>-0.28000000000000003</v>
      </c>
      <c r="L44" s="103">
        <v>204</v>
      </c>
      <c r="M44" s="67">
        <f t="shared" si="1"/>
        <v>-685.44</v>
      </c>
      <c r="N44" s="77"/>
    </row>
    <row r="45" spans="1:14" x14ac:dyDescent="0.3">
      <c r="A45" s="313">
        <f t="shared" si="4"/>
        <v>39</v>
      </c>
      <c r="B45" s="212">
        <v>54</v>
      </c>
      <c r="C45" s="7" t="s">
        <v>13</v>
      </c>
      <c r="D45" s="213" t="s">
        <v>18</v>
      </c>
      <c r="E45" s="214">
        <v>70</v>
      </c>
      <c r="F45" s="103">
        <f t="shared" si="0"/>
        <v>13</v>
      </c>
      <c r="G45" s="103">
        <v>83</v>
      </c>
      <c r="H45" s="103">
        <v>350</v>
      </c>
      <c r="I45" s="103">
        <f t="shared" si="2"/>
        <v>29</v>
      </c>
      <c r="J45" s="19">
        <f t="shared" si="5"/>
        <v>-1.3916666666666322E-2</v>
      </c>
      <c r="K45" s="211">
        <f t="shared" ref="K45:K51" si="10">+K22</f>
        <v>-0.4</v>
      </c>
      <c r="L45" s="103">
        <v>995</v>
      </c>
      <c r="M45" s="67">
        <f t="shared" si="1"/>
        <v>-4776</v>
      </c>
      <c r="N45" s="77"/>
    </row>
    <row r="46" spans="1:14" x14ac:dyDescent="0.3">
      <c r="A46" s="313">
        <f t="shared" si="4"/>
        <v>40</v>
      </c>
      <c r="B46" s="212">
        <v>54</v>
      </c>
      <c r="C46" s="7" t="s">
        <v>13</v>
      </c>
      <c r="D46" s="213" t="s">
        <v>18</v>
      </c>
      <c r="E46" s="214">
        <v>100</v>
      </c>
      <c r="F46" s="103">
        <f t="shared" si="0"/>
        <v>17</v>
      </c>
      <c r="G46" s="103">
        <v>117</v>
      </c>
      <c r="H46" s="103">
        <v>350</v>
      </c>
      <c r="I46" s="103">
        <f t="shared" si="2"/>
        <v>41</v>
      </c>
      <c r="J46" s="19">
        <f t="shared" si="5"/>
        <v>-1.3916666666666322E-2</v>
      </c>
      <c r="K46" s="211">
        <f t="shared" si="10"/>
        <v>-0.56999999999999995</v>
      </c>
      <c r="L46" s="103">
        <v>2339</v>
      </c>
      <c r="M46" s="67">
        <f t="shared" si="1"/>
        <v>-15998.759999999998</v>
      </c>
      <c r="N46" s="77"/>
    </row>
    <row r="47" spans="1:14" x14ac:dyDescent="0.3">
      <c r="A47" s="313">
        <f t="shared" si="4"/>
        <v>41</v>
      </c>
      <c r="B47" s="212">
        <v>54</v>
      </c>
      <c r="C47" s="7" t="s">
        <v>13</v>
      </c>
      <c r="D47" s="213" t="s">
        <v>18</v>
      </c>
      <c r="E47" s="214">
        <v>150</v>
      </c>
      <c r="F47" s="103">
        <f t="shared" si="0"/>
        <v>21</v>
      </c>
      <c r="G47" s="103">
        <v>171</v>
      </c>
      <c r="H47" s="103">
        <v>350</v>
      </c>
      <c r="I47" s="103">
        <f t="shared" si="2"/>
        <v>60</v>
      </c>
      <c r="J47" s="19">
        <f t="shared" si="5"/>
        <v>-1.3916666666666322E-2</v>
      </c>
      <c r="K47" s="211">
        <f t="shared" si="10"/>
        <v>-0.83</v>
      </c>
      <c r="L47" s="103">
        <v>1048</v>
      </c>
      <c r="M47" s="67">
        <f t="shared" si="1"/>
        <v>-10438.079999999998</v>
      </c>
      <c r="N47" s="77"/>
    </row>
    <row r="48" spans="1:14" x14ac:dyDescent="0.3">
      <c r="A48" s="313">
        <f t="shared" si="4"/>
        <v>42</v>
      </c>
      <c r="B48" s="212">
        <v>54</v>
      </c>
      <c r="C48" s="7" t="s">
        <v>13</v>
      </c>
      <c r="D48" s="213" t="s">
        <v>18</v>
      </c>
      <c r="E48" s="214">
        <v>200</v>
      </c>
      <c r="F48" s="103">
        <f t="shared" si="0"/>
        <v>27</v>
      </c>
      <c r="G48" s="103">
        <v>227</v>
      </c>
      <c r="H48" s="103">
        <v>350</v>
      </c>
      <c r="I48" s="103">
        <f t="shared" si="2"/>
        <v>79</v>
      </c>
      <c r="J48" s="19">
        <f t="shared" si="5"/>
        <v>-1.3916666666666322E-2</v>
      </c>
      <c r="K48" s="211">
        <f t="shared" si="10"/>
        <v>-1.1000000000000001</v>
      </c>
      <c r="L48" s="103">
        <v>1804</v>
      </c>
      <c r="M48" s="67">
        <f t="shared" si="1"/>
        <v>-23812.800000000003</v>
      </c>
      <c r="N48" s="77"/>
    </row>
    <row r="49" spans="1:14" x14ac:dyDescent="0.3">
      <c r="A49" s="313">
        <f t="shared" si="4"/>
        <v>43</v>
      </c>
      <c r="B49" s="212">
        <v>54</v>
      </c>
      <c r="C49" s="7" t="s">
        <v>13</v>
      </c>
      <c r="D49" s="213" t="s">
        <v>18</v>
      </c>
      <c r="E49" s="214">
        <v>250</v>
      </c>
      <c r="F49" s="103">
        <f t="shared" si="0"/>
        <v>31</v>
      </c>
      <c r="G49" s="103">
        <v>281</v>
      </c>
      <c r="H49" s="103">
        <v>350</v>
      </c>
      <c r="I49" s="103">
        <f t="shared" si="2"/>
        <v>98</v>
      </c>
      <c r="J49" s="19">
        <f t="shared" si="5"/>
        <v>-1.3916666666666322E-2</v>
      </c>
      <c r="K49" s="211">
        <f t="shared" si="10"/>
        <v>-1.36</v>
      </c>
      <c r="L49" s="103">
        <v>2270</v>
      </c>
      <c r="M49" s="67">
        <f t="shared" si="1"/>
        <v>-37046.400000000001</v>
      </c>
      <c r="N49" s="77"/>
    </row>
    <row r="50" spans="1:14" x14ac:dyDescent="0.3">
      <c r="A50" s="313">
        <f t="shared" si="4"/>
        <v>44</v>
      </c>
      <c r="B50" s="212">
        <v>54</v>
      </c>
      <c r="C50" s="7" t="s">
        <v>13</v>
      </c>
      <c r="D50" s="213" t="s">
        <v>18</v>
      </c>
      <c r="E50" s="214">
        <v>310</v>
      </c>
      <c r="F50" s="103">
        <f t="shared" si="0"/>
        <v>73</v>
      </c>
      <c r="G50" s="103">
        <v>383</v>
      </c>
      <c r="H50" s="103">
        <v>350</v>
      </c>
      <c r="I50" s="103">
        <f t="shared" si="2"/>
        <v>134</v>
      </c>
      <c r="J50" s="19">
        <f t="shared" si="5"/>
        <v>-1.3916666666666322E-2</v>
      </c>
      <c r="K50" s="211">
        <f t="shared" si="10"/>
        <v>-1.86</v>
      </c>
      <c r="L50" s="103">
        <v>128</v>
      </c>
      <c r="M50" s="67">
        <f t="shared" si="1"/>
        <v>-2856.96</v>
      </c>
      <c r="N50" s="77"/>
    </row>
    <row r="51" spans="1:14" x14ac:dyDescent="0.3">
      <c r="A51" s="313">
        <f t="shared" si="4"/>
        <v>45</v>
      </c>
      <c r="B51" s="212">
        <v>54</v>
      </c>
      <c r="C51" s="7" t="s">
        <v>13</v>
      </c>
      <c r="D51" s="213" t="s">
        <v>18</v>
      </c>
      <c r="E51" s="214">
        <v>400</v>
      </c>
      <c r="F51" s="103">
        <f t="shared" si="0"/>
        <v>38</v>
      </c>
      <c r="G51" s="103">
        <v>438</v>
      </c>
      <c r="H51" s="103">
        <v>350</v>
      </c>
      <c r="I51" s="103">
        <f t="shared" si="2"/>
        <v>153</v>
      </c>
      <c r="J51" s="19">
        <f t="shared" si="5"/>
        <v>-1.3916666666666322E-2</v>
      </c>
      <c r="K51" s="211">
        <f t="shared" si="10"/>
        <v>-2.13</v>
      </c>
      <c r="L51" s="103">
        <v>2204</v>
      </c>
      <c r="M51" s="67">
        <f t="shared" si="1"/>
        <v>-56334.239999999991</v>
      </c>
      <c r="N51" s="77"/>
    </row>
    <row r="52" spans="1:14" x14ac:dyDescent="0.3">
      <c r="A52" s="313">
        <f t="shared" si="4"/>
        <v>46</v>
      </c>
      <c r="B52" s="212">
        <v>54</v>
      </c>
      <c r="C52" s="7" t="s">
        <v>13</v>
      </c>
      <c r="D52" s="213" t="s">
        <v>18</v>
      </c>
      <c r="E52" s="214">
        <v>1000</v>
      </c>
      <c r="F52" s="103">
        <f t="shared" si="0"/>
        <v>102</v>
      </c>
      <c r="G52" s="103">
        <v>1102</v>
      </c>
      <c r="H52" s="103">
        <v>350</v>
      </c>
      <c r="I52" s="103">
        <f t="shared" si="2"/>
        <v>386</v>
      </c>
      <c r="J52" s="19">
        <f t="shared" si="5"/>
        <v>-1.3916666666666322E-2</v>
      </c>
      <c r="K52" s="211">
        <f t="shared" si="3"/>
        <v>-5.37</v>
      </c>
      <c r="L52" s="103">
        <v>11</v>
      </c>
      <c r="M52" s="67">
        <f t="shared" si="1"/>
        <v>-708.84</v>
      </c>
      <c r="N52" s="77"/>
    </row>
    <row r="53" spans="1:14" x14ac:dyDescent="0.3">
      <c r="A53" s="313">
        <f t="shared" si="4"/>
        <v>47</v>
      </c>
      <c r="B53" s="7">
        <v>55</v>
      </c>
      <c r="C53" s="212" t="s">
        <v>19</v>
      </c>
      <c r="D53" s="108" t="s">
        <v>163</v>
      </c>
      <c r="E53" s="208">
        <v>70</v>
      </c>
      <c r="F53" s="66">
        <f t="shared" si="0"/>
        <v>13</v>
      </c>
      <c r="G53" s="66">
        <f>+G45</f>
        <v>83</v>
      </c>
      <c r="H53" s="66">
        <v>350</v>
      </c>
      <c r="I53" s="66">
        <f t="shared" si="2"/>
        <v>29</v>
      </c>
      <c r="J53" s="19">
        <f t="shared" si="5"/>
        <v>-1.3916666666666322E-2</v>
      </c>
      <c r="K53" s="211">
        <f>+K22</f>
        <v>-0.4</v>
      </c>
      <c r="L53" s="103">
        <v>19</v>
      </c>
      <c r="M53" s="67">
        <f t="shared" si="1"/>
        <v>-91.2</v>
      </c>
      <c r="N53" s="77"/>
    </row>
    <row r="54" spans="1:14" x14ac:dyDescent="0.3">
      <c r="A54" s="313">
        <f t="shared" si="4"/>
        <v>48</v>
      </c>
      <c r="B54" s="7">
        <v>55</v>
      </c>
      <c r="C54" s="212" t="s">
        <v>19</v>
      </c>
      <c r="D54" s="108" t="s">
        <v>163</v>
      </c>
      <c r="E54" s="208">
        <v>100</v>
      </c>
      <c r="F54" s="66">
        <f t="shared" si="0"/>
        <v>17</v>
      </c>
      <c r="G54" s="66">
        <f>+G46</f>
        <v>117</v>
      </c>
      <c r="H54" s="66">
        <v>350</v>
      </c>
      <c r="I54" s="66">
        <f t="shared" si="2"/>
        <v>41</v>
      </c>
      <c r="J54" s="19">
        <f t="shared" si="5"/>
        <v>-1.3916666666666322E-2</v>
      </c>
      <c r="K54" s="211">
        <f>+K23</f>
        <v>-0.56999999999999995</v>
      </c>
      <c r="L54" s="103">
        <v>4800</v>
      </c>
      <c r="M54" s="67">
        <f t="shared" si="1"/>
        <v>-32831.999999999993</v>
      </c>
      <c r="N54" s="77"/>
    </row>
    <row r="55" spans="1:14" x14ac:dyDescent="0.3">
      <c r="A55" s="313">
        <f t="shared" si="4"/>
        <v>49</v>
      </c>
      <c r="B55" s="7">
        <v>55</v>
      </c>
      <c r="C55" s="212" t="s">
        <v>19</v>
      </c>
      <c r="D55" s="108" t="s">
        <v>163</v>
      </c>
      <c r="E55" s="208">
        <v>150</v>
      </c>
      <c r="F55" s="66">
        <f t="shared" si="0"/>
        <v>21</v>
      </c>
      <c r="G55" s="66">
        <f>+G47</f>
        <v>171</v>
      </c>
      <c r="H55" s="66">
        <v>350</v>
      </c>
      <c r="I55" s="66">
        <f t="shared" si="2"/>
        <v>60</v>
      </c>
      <c r="J55" s="19">
        <f t="shared" si="5"/>
        <v>-1.3916666666666322E-2</v>
      </c>
      <c r="K55" s="211">
        <f>+K24</f>
        <v>-0.83</v>
      </c>
      <c r="L55" s="103">
        <v>564</v>
      </c>
      <c r="M55" s="67">
        <f t="shared" si="1"/>
        <v>-5617.4400000000005</v>
      </c>
      <c r="N55" s="77"/>
    </row>
    <row r="56" spans="1:14" x14ac:dyDescent="0.3">
      <c r="A56" s="313">
        <f t="shared" si="4"/>
        <v>50</v>
      </c>
      <c r="B56" s="7">
        <v>55</v>
      </c>
      <c r="C56" s="212" t="s">
        <v>19</v>
      </c>
      <c r="D56" s="108" t="s">
        <v>163</v>
      </c>
      <c r="E56" s="208">
        <v>200</v>
      </c>
      <c r="F56" s="66">
        <f t="shared" si="0"/>
        <v>27</v>
      </c>
      <c r="G56" s="66">
        <f>+G48</f>
        <v>227</v>
      </c>
      <c r="H56" s="66">
        <v>350</v>
      </c>
      <c r="I56" s="66">
        <f t="shared" si="2"/>
        <v>79</v>
      </c>
      <c r="J56" s="19">
        <f t="shared" si="5"/>
        <v>-1.3916666666666322E-2</v>
      </c>
      <c r="K56" s="211">
        <f>+K25</f>
        <v>-1.1000000000000001</v>
      </c>
      <c r="L56" s="103">
        <v>1417</v>
      </c>
      <c r="M56" s="67">
        <f t="shared" si="1"/>
        <v>-18704.400000000001</v>
      </c>
      <c r="N56" s="77"/>
    </row>
    <row r="57" spans="1:14" x14ac:dyDescent="0.3">
      <c r="A57" s="313">
        <f t="shared" si="4"/>
        <v>51</v>
      </c>
      <c r="B57" s="7">
        <v>55</v>
      </c>
      <c r="C57" s="212" t="s">
        <v>19</v>
      </c>
      <c r="D57" s="108" t="s">
        <v>163</v>
      </c>
      <c r="E57" s="208">
        <v>250</v>
      </c>
      <c r="F57" s="66">
        <f t="shared" si="0"/>
        <v>31</v>
      </c>
      <c r="G57" s="66">
        <f>+G49</f>
        <v>281</v>
      </c>
      <c r="H57" s="66">
        <v>350</v>
      </c>
      <c r="I57" s="66">
        <f t="shared" si="2"/>
        <v>98</v>
      </c>
      <c r="J57" s="19">
        <f t="shared" si="5"/>
        <v>-1.3916666666666322E-2</v>
      </c>
      <c r="K57" s="211">
        <f>+K26</f>
        <v>-1.36</v>
      </c>
      <c r="L57" s="103">
        <v>142</v>
      </c>
      <c r="M57" s="67">
        <f t="shared" si="1"/>
        <v>-2317.44</v>
      </c>
      <c r="N57" s="77"/>
    </row>
    <row r="58" spans="1:14" x14ac:dyDescent="0.3">
      <c r="A58" s="313">
        <f t="shared" si="4"/>
        <v>52</v>
      </c>
      <c r="B58" s="7">
        <v>55</v>
      </c>
      <c r="C58" s="212" t="s">
        <v>19</v>
      </c>
      <c r="D58" s="108" t="s">
        <v>163</v>
      </c>
      <c r="E58" s="208">
        <v>400</v>
      </c>
      <c r="F58" s="66">
        <f t="shared" si="0"/>
        <v>38</v>
      </c>
      <c r="G58" s="66">
        <f>+G51</f>
        <v>438</v>
      </c>
      <c r="H58" s="66">
        <v>350</v>
      </c>
      <c r="I58" s="66">
        <f t="shared" si="2"/>
        <v>153</v>
      </c>
      <c r="J58" s="19">
        <f t="shared" si="5"/>
        <v>-1.3916666666666322E-2</v>
      </c>
      <c r="K58" s="211">
        <f>+K28</f>
        <v>-2.13</v>
      </c>
      <c r="L58" s="103">
        <v>69</v>
      </c>
      <c r="M58" s="67">
        <f t="shared" si="1"/>
        <v>-1763.6399999999999</v>
      </c>
      <c r="N58" s="77"/>
    </row>
    <row r="59" spans="1:14" x14ac:dyDescent="0.3">
      <c r="A59" s="313">
        <f t="shared" si="4"/>
        <v>53</v>
      </c>
      <c r="B59" s="7">
        <v>55</v>
      </c>
      <c r="C59" s="212" t="s">
        <v>19</v>
      </c>
      <c r="D59" s="108" t="s">
        <v>164</v>
      </c>
      <c r="E59" s="208">
        <v>250</v>
      </c>
      <c r="F59" s="66">
        <f t="shared" si="0"/>
        <v>39</v>
      </c>
      <c r="G59" s="66">
        <f>+G18</f>
        <v>289</v>
      </c>
      <c r="H59" s="66">
        <v>350</v>
      </c>
      <c r="I59" s="66">
        <f t="shared" si="2"/>
        <v>101</v>
      </c>
      <c r="J59" s="19">
        <f t="shared" si="5"/>
        <v>-1.3916666666666322E-2</v>
      </c>
      <c r="K59" s="211">
        <f>+K18</f>
        <v>-1.41</v>
      </c>
      <c r="L59" s="103">
        <v>0</v>
      </c>
      <c r="M59" s="67">
        <f t="shared" si="1"/>
        <v>0</v>
      </c>
      <c r="N59" s="77"/>
    </row>
    <row r="60" spans="1:14" x14ac:dyDescent="0.3">
      <c r="A60" s="313">
        <f t="shared" si="4"/>
        <v>54</v>
      </c>
      <c r="B60" s="212">
        <v>57</v>
      </c>
      <c r="C60" s="212" t="s">
        <v>20</v>
      </c>
      <c r="D60" s="213" t="s">
        <v>21</v>
      </c>
      <c r="E60" s="215" t="s">
        <v>165</v>
      </c>
      <c r="F60" s="66">
        <f>+'Delivered Loads by Tariff'!N25</f>
        <v>4345000</v>
      </c>
      <c r="G60" s="103"/>
      <c r="H60" s="216" t="s">
        <v>166</v>
      </c>
      <c r="I60" s="103">
        <f>+F60/0.245</f>
        <v>17734693.877551019</v>
      </c>
      <c r="J60" s="19">
        <f t="shared" si="5"/>
        <v>-1.3916666666666322E-2</v>
      </c>
      <c r="K60" s="217">
        <f>ROUND(+J$60*0.245,5)</f>
        <v>-3.4099999999999998E-3</v>
      </c>
      <c r="L60" s="194">
        <v>0</v>
      </c>
      <c r="M60" s="67">
        <f>+K60*I60</f>
        <v>-60475.306122448972</v>
      </c>
      <c r="N60" s="77"/>
    </row>
    <row r="61" spans="1:14" x14ac:dyDescent="0.3">
      <c r="A61" s="313">
        <f t="shared" si="4"/>
        <v>55</v>
      </c>
      <c r="B61" s="7">
        <v>58</v>
      </c>
      <c r="C61" s="212" t="s">
        <v>22</v>
      </c>
      <c r="D61" s="108" t="s">
        <v>167</v>
      </c>
      <c r="E61" s="208">
        <v>70</v>
      </c>
      <c r="F61" s="66">
        <f t="shared" ref="F61:F77" si="11">+G61-E61</f>
        <v>13</v>
      </c>
      <c r="G61" s="66">
        <f t="shared" ref="G61:G66" si="12">+G53</f>
        <v>83</v>
      </c>
      <c r="H61" s="66">
        <v>350</v>
      </c>
      <c r="I61" s="66">
        <f t="shared" ref="I61:I77" si="13">ROUND(+G61*H61/1000,0)</f>
        <v>29</v>
      </c>
      <c r="J61" s="19">
        <f t="shared" si="5"/>
        <v>-1.3916666666666322E-2</v>
      </c>
      <c r="K61" s="211">
        <f>+K22</f>
        <v>-0.4</v>
      </c>
      <c r="L61" s="103">
        <v>65</v>
      </c>
      <c r="M61" s="67">
        <f t="shared" ref="M61:M124" si="14">+L61*K61*12</f>
        <v>-312</v>
      </c>
      <c r="N61" s="77"/>
    </row>
    <row r="62" spans="1:14" x14ac:dyDescent="0.3">
      <c r="A62" s="313">
        <f t="shared" si="4"/>
        <v>56</v>
      </c>
      <c r="B62" s="7">
        <v>58</v>
      </c>
      <c r="C62" s="212" t="s">
        <v>22</v>
      </c>
      <c r="D62" s="108" t="s">
        <v>167</v>
      </c>
      <c r="E62" s="208">
        <v>100</v>
      </c>
      <c r="F62" s="66">
        <f t="shared" si="11"/>
        <v>17</v>
      </c>
      <c r="G62" s="66">
        <f t="shared" si="12"/>
        <v>117</v>
      </c>
      <c r="H62" s="66">
        <v>350</v>
      </c>
      <c r="I62" s="66">
        <f t="shared" si="13"/>
        <v>41</v>
      </c>
      <c r="J62" s="19">
        <f t="shared" si="5"/>
        <v>-1.3916666666666322E-2</v>
      </c>
      <c r="K62" s="211">
        <f>+K23</f>
        <v>-0.56999999999999995</v>
      </c>
      <c r="L62" s="103">
        <v>6</v>
      </c>
      <c r="M62" s="67">
        <f t="shared" si="14"/>
        <v>-41.04</v>
      </c>
      <c r="N62" s="77"/>
    </row>
    <row r="63" spans="1:14" x14ac:dyDescent="0.3">
      <c r="A63" s="313">
        <f t="shared" si="4"/>
        <v>57</v>
      </c>
      <c r="B63" s="7">
        <v>58</v>
      </c>
      <c r="C63" s="212" t="s">
        <v>22</v>
      </c>
      <c r="D63" s="108" t="s">
        <v>167</v>
      </c>
      <c r="E63" s="208">
        <v>150</v>
      </c>
      <c r="F63" s="66">
        <f t="shared" si="11"/>
        <v>21</v>
      </c>
      <c r="G63" s="66">
        <f t="shared" si="12"/>
        <v>171</v>
      </c>
      <c r="H63" s="66">
        <v>350</v>
      </c>
      <c r="I63" s="66">
        <f t="shared" si="13"/>
        <v>60</v>
      </c>
      <c r="J63" s="19">
        <f t="shared" si="5"/>
        <v>-1.3916666666666322E-2</v>
      </c>
      <c r="K63" s="211">
        <f>+K24</f>
        <v>-0.83</v>
      </c>
      <c r="L63" s="103">
        <v>194</v>
      </c>
      <c r="M63" s="67">
        <f t="shared" si="14"/>
        <v>-1932.2399999999998</v>
      </c>
      <c r="N63" s="77"/>
    </row>
    <row r="64" spans="1:14" x14ac:dyDescent="0.3">
      <c r="A64" s="313">
        <f t="shared" si="4"/>
        <v>58</v>
      </c>
      <c r="B64" s="7">
        <v>58</v>
      </c>
      <c r="C64" s="212" t="s">
        <v>22</v>
      </c>
      <c r="D64" s="108" t="s">
        <v>167</v>
      </c>
      <c r="E64" s="208">
        <v>200</v>
      </c>
      <c r="F64" s="66">
        <f t="shared" si="11"/>
        <v>27</v>
      </c>
      <c r="G64" s="66">
        <f t="shared" si="12"/>
        <v>227</v>
      </c>
      <c r="H64" s="66">
        <v>350</v>
      </c>
      <c r="I64" s="66">
        <f t="shared" si="13"/>
        <v>79</v>
      </c>
      <c r="J64" s="19">
        <f t="shared" si="5"/>
        <v>-1.3916666666666322E-2</v>
      </c>
      <c r="K64" s="211">
        <f>+K25</f>
        <v>-1.1000000000000001</v>
      </c>
      <c r="L64" s="103">
        <v>344</v>
      </c>
      <c r="M64" s="67">
        <f t="shared" si="14"/>
        <v>-4540.8</v>
      </c>
      <c r="N64" s="77"/>
    </row>
    <row r="65" spans="1:14" x14ac:dyDescent="0.3">
      <c r="A65" s="313">
        <f t="shared" si="4"/>
        <v>59</v>
      </c>
      <c r="B65" s="7">
        <v>58</v>
      </c>
      <c r="C65" s="212" t="s">
        <v>22</v>
      </c>
      <c r="D65" s="108" t="s">
        <v>167</v>
      </c>
      <c r="E65" s="208">
        <v>250</v>
      </c>
      <c r="F65" s="66">
        <f t="shared" si="11"/>
        <v>31</v>
      </c>
      <c r="G65" s="66">
        <f t="shared" si="12"/>
        <v>281</v>
      </c>
      <c r="H65" s="66">
        <v>350</v>
      </c>
      <c r="I65" s="66">
        <f t="shared" si="13"/>
        <v>98</v>
      </c>
      <c r="J65" s="19">
        <f t="shared" si="5"/>
        <v>-1.3916666666666322E-2</v>
      </c>
      <c r="K65" s="211">
        <f>+K26</f>
        <v>-1.36</v>
      </c>
      <c r="L65" s="103">
        <v>60</v>
      </c>
      <c r="M65" s="67">
        <f t="shared" si="14"/>
        <v>-979.2</v>
      </c>
      <c r="N65" s="77"/>
    </row>
    <row r="66" spans="1:14" x14ac:dyDescent="0.3">
      <c r="A66" s="313">
        <f t="shared" si="4"/>
        <v>60</v>
      </c>
      <c r="B66" s="7">
        <v>58</v>
      </c>
      <c r="C66" s="212" t="s">
        <v>22</v>
      </c>
      <c r="D66" s="108" t="s">
        <v>167</v>
      </c>
      <c r="E66" s="208">
        <v>400</v>
      </c>
      <c r="F66" s="66">
        <f t="shared" si="11"/>
        <v>38</v>
      </c>
      <c r="G66" s="66">
        <f t="shared" si="12"/>
        <v>438</v>
      </c>
      <c r="H66" s="66">
        <v>350</v>
      </c>
      <c r="I66" s="66">
        <f t="shared" si="13"/>
        <v>153</v>
      </c>
      <c r="J66" s="19">
        <f t="shared" si="5"/>
        <v>-1.3916666666666322E-2</v>
      </c>
      <c r="K66" s="211">
        <f>+K28</f>
        <v>-2.13</v>
      </c>
      <c r="L66" s="103">
        <v>432</v>
      </c>
      <c r="M66" s="67">
        <f t="shared" si="14"/>
        <v>-11041.92</v>
      </c>
      <c r="N66" s="77"/>
    </row>
    <row r="67" spans="1:14" x14ac:dyDescent="0.3">
      <c r="A67" s="313">
        <f t="shared" si="4"/>
        <v>61</v>
      </c>
      <c r="B67" s="7">
        <v>58</v>
      </c>
      <c r="C67" s="212" t="s">
        <v>22</v>
      </c>
      <c r="D67" s="108" t="s">
        <v>168</v>
      </c>
      <c r="E67" s="208">
        <v>175</v>
      </c>
      <c r="F67" s="66">
        <f t="shared" si="11"/>
        <v>36</v>
      </c>
      <c r="G67" s="66">
        <f>+G17</f>
        <v>211</v>
      </c>
      <c r="H67" s="66">
        <v>350</v>
      </c>
      <c r="I67" s="66">
        <f t="shared" si="13"/>
        <v>74</v>
      </c>
      <c r="J67" s="19">
        <f t="shared" si="5"/>
        <v>-1.3916666666666322E-2</v>
      </c>
      <c r="K67" s="211">
        <f>+K17</f>
        <v>-1.03</v>
      </c>
      <c r="L67" s="103">
        <v>5</v>
      </c>
      <c r="M67" s="67">
        <f t="shared" si="14"/>
        <v>-61.800000000000004</v>
      </c>
      <c r="N67" s="77"/>
    </row>
    <row r="68" spans="1:14" x14ac:dyDescent="0.3">
      <c r="A68" s="313">
        <f t="shared" si="4"/>
        <v>62</v>
      </c>
      <c r="B68" s="7">
        <v>58</v>
      </c>
      <c r="C68" s="212" t="s">
        <v>22</v>
      </c>
      <c r="D68" s="108" t="s">
        <v>168</v>
      </c>
      <c r="E68" s="208">
        <v>250</v>
      </c>
      <c r="F68" s="66">
        <f t="shared" si="11"/>
        <v>39</v>
      </c>
      <c r="G68" s="66">
        <f>+G18</f>
        <v>289</v>
      </c>
      <c r="H68" s="66">
        <v>350</v>
      </c>
      <c r="I68" s="66">
        <f t="shared" si="13"/>
        <v>101</v>
      </c>
      <c r="J68" s="19">
        <f t="shared" si="5"/>
        <v>-1.3916666666666322E-2</v>
      </c>
      <c r="K68" s="211">
        <f>+K18</f>
        <v>-1.41</v>
      </c>
      <c r="L68" s="103">
        <v>14</v>
      </c>
      <c r="M68" s="67">
        <f t="shared" si="14"/>
        <v>-236.88</v>
      </c>
      <c r="N68" s="77"/>
    </row>
    <row r="69" spans="1:14" x14ac:dyDescent="0.3">
      <c r="A69" s="313">
        <f t="shared" si="4"/>
        <v>63</v>
      </c>
      <c r="B69" s="7">
        <v>58</v>
      </c>
      <c r="C69" s="212" t="s">
        <v>22</v>
      </c>
      <c r="D69" s="108" t="s">
        <v>168</v>
      </c>
      <c r="E69" s="208">
        <v>400</v>
      </c>
      <c r="F69" s="66">
        <f t="shared" si="11"/>
        <v>52</v>
      </c>
      <c r="G69" s="66">
        <f>+G19</f>
        <v>452</v>
      </c>
      <c r="H69" s="66">
        <v>350</v>
      </c>
      <c r="I69" s="66">
        <f t="shared" si="13"/>
        <v>158</v>
      </c>
      <c r="J69" s="19">
        <f t="shared" si="5"/>
        <v>-1.3916666666666322E-2</v>
      </c>
      <c r="K69" s="211">
        <f>+K19</f>
        <v>-2.2000000000000002</v>
      </c>
      <c r="L69" s="103">
        <v>86</v>
      </c>
      <c r="M69" s="67">
        <f t="shared" si="14"/>
        <v>-2270.4</v>
      </c>
      <c r="N69" s="77"/>
    </row>
    <row r="70" spans="1:14" x14ac:dyDescent="0.3">
      <c r="A70" s="313">
        <f t="shared" si="4"/>
        <v>64</v>
      </c>
      <c r="B70" s="7">
        <v>58</v>
      </c>
      <c r="C70" s="212" t="s">
        <v>22</v>
      </c>
      <c r="D70" s="108" t="s">
        <v>168</v>
      </c>
      <c r="E70" s="208">
        <v>1000</v>
      </c>
      <c r="F70" s="66">
        <f t="shared" si="11"/>
        <v>80</v>
      </c>
      <c r="G70" s="66">
        <f>+G20</f>
        <v>1080</v>
      </c>
      <c r="H70" s="66">
        <v>350</v>
      </c>
      <c r="I70" s="66">
        <f t="shared" si="13"/>
        <v>378</v>
      </c>
      <c r="J70" s="19">
        <f t="shared" si="5"/>
        <v>-1.3916666666666322E-2</v>
      </c>
      <c r="K70" s="211">
        <f>+K20</f>
        <v>-5.26</v>
      </c>
      <c r="L70" s="103">
        <v>125</v>
      </c>
      <c r="M70" s="67">
        <f t="shared" si="14"/>
        <v>-7890</v>
      </c>
      <c r="N70" s="77"/>
    </row>
    <row r="71" spans="1:14" x14ac:dyDescent="0.3">
      <c r="A71" s="313">
        <f t="shared" si="4"/>
        <v>65</v>
      </c>
      <c r="B71" s="7">
        <v>58</v>
      </c>
      <c r="C71" s="212" t="s">
        <v>22</v>
      </c>
      <c r="D71" s="192" t="s">
        <v>169</v>
      </c>
      <c r="E71" s="208">
        <v>100</v>
      </c>
      <c r="F71" s="66">
        <f t="shared" si="11"/>
        <v>17</v>
      </c>
      <c r="G71" s="66">
        <f>+G62</f>
        <v>117</v>
      </c>
      <c r="H71" s="66">
        <v>350</v>
      </c>
      <c r="I71" s="66">
        <f t="shared" si="13"/>
        <v>41</v>
      </c>
      <c r="J71" s="19">
        <f t="shared" si="5"/>
        <v>-1.3916666666666322E-2</v>
      </c>
      <c r="K71" s="211">
        <f>+K23</f>
        <v>-0.56999999999999995</v>
      </c>
      <c r="L71" s="103">
        <v>2</v>
      </c>
      <c r="M71" s="67">
        <f t="shared" si="14"/>
        <v>-13.68</v>
      </c>
      <c r="N71" s="77"/>
    </row>
    <row r="72" spans="1:14" x14ac:dyDescent="0.3">
      <c r="A72" s="313">
        <f t="shared" si="4"/>
        <v>66</v>
      </c>
      <c r="B72" s="7">
        <v>58</v>
      </c>
      <c r="C72" s="212" t="s">
        <v>22</v>
      </c>
      <c r="D72" s="192" t="s">
        <v>169</v>
      </c>
      <c r="E72" s="208">
        <v>150</v>
      </c>
      <c r="F72" s="66">
        <f t="shared" si="11"/>
        <v>21</v>
      </c>
      <c r="G72" s="66">
        <f>+G63</f>
        <v>171</v>
      </c>
      <c r="H72" s="66">
        <v>350</v>
      </c>
      <c r="I72" s="66">
        <f t="shared" si="13"/>
        <v>60</v>
      </c>
      <c r="J72" s="19">
        <f t="shared" si="5"/>
        <v>-1.3916666666666322E-2</v>
      </c>
      <c r="K72" s="211">
        <f>+K24</f>
        <v>-0.83</v>
      </c>
      <c r="L72" s="103">
        <v>12</v>
      </c>
      <c r="M72" s="67">
        <f t="shared" si="14"/>
        <v>-119.51999999999998</v>
      </c>
      <c r="N72" s="77"/>
    </row>
    <row r="73" spans="1:14" x14ac:dyDescent="0.3">
      <c r="A73" s="313">
        <f t="shared" ref="A73:A136" si="15">ROW(A67)</f>
        <v>67</v>
      </c>
      <c r="B73" s="7">
        <v>58</v>
      </c>
      <c r="C73" s="212" t="s">
        <v>22</v>
      </c>
      <c r="D73" s="192" t="s">
        <v>169</v>
      </c>
      <c r="E73" s="208">
        <v>200</v>
      </c>
      <c r="F73" s="66">
        <f t="shared" si="11"/>
        <v>27</v>
      </c>
      <c r="G73" s="66">
        <f>+G64</f>
        <v>227</v>
      </c>
      <c r="H73" s="66">
        <v>350</v>
      </c>
      <c r="I73" s="66">
        <f t="shared" si="13"/>
        <v>79</v>
      </c>
      <c r="J73" s="19">
        <f t="shared" ref="J73:J131" si="16">+$J$7</f>
        <v>-1.3916666666666322E-2</v>
      </c>
      <c r="K73" s="211">
        <f>+K25</f>
        <v>-1.1000000000000001</v>
      </c>
      <c r="L73" s="103">
        <v>9</v>
      </c>
      <c r="M73" s="67">
        <f t="shared" si="14"/>
        <v>-118.80000000000001</v>
      </c>
      <c r="N73" s="77"/>
    </row>
    <row r="74" spans="1:14" x14ac:dyDescent="0.3">
      <c r="A74" s="313">
        <f t="shared" si="15"/>
        <v>68</v>
      </c>
      <c r="B74" s="7">
        <v>58</v>
      </c>
      <c r="C74" s="212" t="s">
        <v>22</v>
      </c>
      <c r="D74" s="192" t="s">
        <v>169</v>
      </c>
      <c r="E74" s="208">
        <v>250</v>
      </c>
      <c r="F74" s="66">
        <f t="shared" si="11"/>
        <v>31</v>
      </c>
      <c r="G74" s="66">
        <f>+G65</f>
        <v>281</v>
      </c>
      <c r="H74" s="66">
        <v>350</v>
      </c>
      <c r="I74" s="66">
        <f t="shared" si="13"/>
        <v>98</v>
      </c>
      <c r="J74" s="19">
        <f t="shared" si="16"/>
        <v>-1.3916666666666322E-2</v>
      </c>
      <c r="K74" s="211">
        <f>+K26</f>
        <v>-1.36</v>
      </c>
      <c r="L74" s="103">
        <v>25</v>
      </c>
      <c r="M74" s="67">
        <f t="shared" si="14"/>
        <v>-408</v>
      </c>
      <c r="N74" s="77"/>
    </row>
    <row r="75" spans="1:14" x14ac:dyDescent="0.3">
      <c r="A75" s="313">
        <f t="shared" si="15"/>
        <v>69</v>
      </c>
      <c r="B75" s="7">
        <v>58</v>
      </c>
      <c r="C75" s="212" t="s">
        <v>22</v>
      </c>
      <c r="D75" s="192" t="s">
        <v>169</v>
      </c>
      <c r="E75" s="208">
        <v>400</v>
      </c>
      <c r="F75" s="66">
        <f t="shared" si="11"/>
        <v>38</v>
      </c>
      <c r="G75" s="66">
        <f>+G66</f>
        <v>438</v>
      </c>
      <c r="H75" s="66">
        <v>350</v>
      </c>
      <c r="I75" s="66">
        <f t="shared" si="13"/>
        <v>153</v>
      </c>
      <c r="J75" s="19">
        <f t="shared" si="16"/>
        <v>-1.3916666666666322E-2</v>
      </c>
      <c r="K75" s="211">
        <f>+K28</f>
        <v>-2.13</v>
      </c>
      <c r="L75" s="103">
        <v>81</v>
      </c>
      <c r="M75" s="67">
        <f t="shared" si="14"/>
        <v>-2070.36</v>
      </c>
      <c r="N75" s="77"/>
    </row>
    <row r="76" spans="1:14" x14ac:dyDescent="0.3">
      <c r="A76" s="313">
        <f t="shared" si="15"/>
        <v>70</v>
      </c>
      <c r="B76" s="7">
        <v>58</v>
      </c>
      <c r="C76" s="212" t="s">
        <v>22</v>
      </c>
      <c r="D76" s="108" t="s">
        <v>170</v>
      </c>
      <c r="E76" s="208">
        <v>250</v>
      </c>
      <c r="F76" s="66">
        <f t="shared" si="11"/>
        <v>39</v>
      </c>
      <c r="G76" s="66">
        <f>+G68</f>
        <v>289</v>
      </c>
      <c r="H76" s="66">
        <v>350</v>
      </c>
      <c r="I76" s="66">
        <f t="shared" si="13"/>
        <v>101</v>
      </c>
      <c r="J76" s="19">
        <f t="shared" si="16"/>
        <v>-1.3916666666666322E-2</v>
      </c>
      <c r="K76" s="211">
        <f>+K18</f>
        <v>-1.41</v>
      </c>
      <c r="L76" s="103">
        <v>8</v>
      </c>
      <c r="M76" s="67">
        <f t="shared" si="14"/>
        <v>-135.35999999999999</v>
      </c>
      <c r="N76" s="77"/>
    </row>
    <row r="77" spans="1:14" x14ac:dyDescent="0.3">
      <c r="A77" s="313">
        <f t="shared" si="15"/>
        <v>71</v>
      </c>
      <c r="B77" s="7">
        <v>58</v>
      </c>
      <c r="C77" s="212" t="s">
        <v>22</v>
      </c>
      <c r="D77" s="108" t="s">
        <v>170</v>
      </c>
      <c r="E77" s="208">
        <v>400</v>
      </c>
      <c r="F77" s="66">
        <f t="shared" si="11"/>
        <v>52</v>
      </c>
      <c r="G77" s="66">
        <f>+G69</f>
        <v>452</v>
      </c>
      <c r="H77" s="66">
        <v>350</v>
      </c>
      <c r="I77" s="66">
        <f t="shared" si="13"/>
        <v>158</v>
      </c>
      <c r="J77" s="19">
        <f t="shared" si="16"/>
        <v>-1.3916666666666322E-2</v>
      </c>
      <c r="K77" s="211">
        <f t="shared" ref="K77" si="17">+K19</f>
        <v>-2.2000000000000002</v>
      </c>
      <c r="L77" s="103">
        <v>63</v>
      </c>
      <c r="M77" s="67">
        <f t="shared" si="14"/>
        <v>-1663.2000000000003</v>
      </c>
      <c r="N77" s="77"/>
    </row>
    <row r="78" spans="1:14" x14ac:dyDescent="0.3">
      <c r="A78" s="313">
        <f t="shared" si="15"/>
        <v>72</v>
      </c>
      <c r="B78" s="212" t="s">
        <v>171</v>
      </c>
      <c r="C78" s="212" t="s">
        <v>13</v>
      </c>
      <c r="D78" s="213" t="s">
        <v>149</v>
      </c>
      <c r="E78" s="218" t="s">
        <v>172</v>
      </c>
      <c r="F78" s="103">
        <v>32.5</v>
      </c>
      <c r="G78" s="103">
        <f>+F78</f>
        <v>32.5</v>
      </c>
      <c r="H78" s="103">
        <v>350</v>
      </c>
      <c r="I78" s="103">
        <f>ROUND(+G78*H78/1000,0)</f>
        <v>11</v>
      </c>
      <c r="J78" s="19">
        <f t="shared" si="16"/>
        <v>-1.3916666666666322E-2</v>
      </c>
      <c r="K78" s="210">
        <f t="shared" ref="K78:K131" si="18">+$I78*J78</f>
        <v>-0.15308333333332955</v>
      </c>
      <c r="L78" s="103"/>
      <c r="M78" s="67">
        <f t="shared" si="14"/>
        <v>0</v>
      </c>
      <c r="N78" s="77"/>
    </row>
    <row r="79" spans="1:14" x14ac:dyDescent="0.3">
      <c r="A79" s="313">
        <f t="shared" si="15"/>
        <v>73</v>
      </c>
      <c r="B79" s="212" t="s">
        <v>171</v>
      </c>
      <c r="C79" s="212" t="s">
        <v>13</v>
      </c>
      <c r="D79" s="213" t="s">
        <v>149</v>
      </c>
      <c r="E79" s="218" t="s">
        <v>173</v>
      </c>
      <c r="F79" s="103">
        <v>37.5</v>
      </c>
      <c r="G79" s="103">
        <f t="shared" ref="G79:G131" si="19">+F79</f>
        <v>37.5</v>
      </c>
      <c r="H79" s="103">
        <v>350</v>
      </c>
      <c r="I79" s="103">
        <f t="shared" ref="I79:I131" si="20">ROUND(+G79*H79/1000,0)</f>
        <v>13</v>
      </c>
      <c r="J79" s="19">
        <f t="shared" si="16"/>
        <v>-1.3916666666666322E-2</v>
      </c>
      <c r="K79" s="210">
        <f t="shared" si="18"/>
        <v>-0.1809166666666622</v>
      </c>
      <c r="L79" s="103"/>
      <c r="M79" s="67">
        <f t="shared" si="14"/>
        <v>0</v>
      </c>
      <c r="N79" s="77"/>
    </row>
    <row r="80" spans="1:14" x14ac:dyDescent="0.3">
      <c r="A80" s="313">
        <f t="shared" si="15"/>
        <v>74</v>
      </c>
      <c r="B80" s="212" t="s">
        <v>171</v>
      </c>
      <c r="C80" s="212" t="s">
        <v>13</v>
      </c>
      <c r="D80" s="213" t="s">
        <v>149</v>
      </c>
      <c r="E80" s="218" t="s">
        <v>174</v>
      </c>
      <c r="F80" s="103">
        <v>42.5</v>
      </c>
      <c r="G80" s="103">
        <f t="shared" si="19"/>
        <v>42.5</v>
      </c>
      <c r="H80" s="103">
        <v>350</v>
      </c>
      <c r="I80" s="103">
        <f t="shared" si="20"/>
        <v>15</v>
      </c>
      <c r="J80" s="19">
        <f t="shared" si="16"/>
        <v>-1.3916666666666322E-2</v>
      </c>
      <c r="K80" s="210">
        <f t="shared" si="18"/>
        <v>-0.20874999999999483</v>
      </c>
      <c r="L80" s="103">
        <v>66</v>
      </c>
      <c r="M80" s="67">
        <f t="shared" si="14"/>
        <v>-165.32999999999589</v>
      </c>
      <c r="N80" s="77"/>
    </row>
    <row r="81" spans="1:14" x14ac:dyDescent="0.3">
      <c r="A81" s="313">
        <f t="shared" si="15"/>
        <v>75</v>
      </c>
      <c r="B81" s="212" t="s">
        <v>171</v>
      </c>
      <c r="C81" s="212" t="s">
        <v>13</v>
      </c>
      <c r="D81" s="213" t="s">
        <v>149</v>
      </c>
      <c r="E81" s="218" t="s">
        <v>175</v>
      </c>
      <c r="F81" s="103">
        <v>47.5</v>
      </c>
      <c r="G81" s="103">
        <f t="shared" si="19"/>
        <v>47.5</v>
      </c>
      <c r="H81" s="103">
        <v>350</v>
      </c>
      <c r="I81" s="103">
        <f t="shared" si="20"/>
        <v>17</v>
      </c>
      <c r="J81" s="19">
        <f t="shared" si="16"/>
        <v>-1.3916666666666322E-2</v>
      </c>
      <c r="K81" s="210">
        <f t="shared" si="18"/>
        <v>-0.23658333333332748</v>
      </c>
      <c r="L81" s="103">
        <v>0</v>
      </c>
      <c r="M81" s="67">
        <f t="shared" si="14"/>
        <v>0</v>
      </c>
      <c r="N81" s="77"/>
    </row>
    <row r="82" spans="1:14" x14ac:dyDescent="0.3">
      <c r="A82" s="313">
        <f t="shared" si="15"/>
        <v>76</v>
      </c>
      <c r="B82" s="212" t="s">
        <v>171</v>
      </c>
      <c r="C82" s="212" t="s">
        <v>13</v>
      </c>
      <c r="D82" s="213" t="s">
        <v>149</v>
      </c>
      <c r="E82" s="218" t="s">
        <v>176</v>
      </c>
      <c r="F82" s="103">
        <v>52.5</v>
      </c>
      <c r="G82" s="103">
        <f t="shared" si="19"/>
        <v>52.5</v>
      </c>
      <c r="H82" s="103">
        <v>350</v>
      </c>
      <c r="I82" s="103">
        <f t="shared" si="20"/>
        <v>18</v>
      </c>
      <c r="J82" s="19">
        <f t="shared" si="16"/>
        <v>-1.3916666666666322E-2</v>
      </c>
      <c r="K82" s="210">
        <f t="shared" si="18"/>
        <v>-0.25049999999999378</v>
      </c>
      <c r="L82" s="103">
        <v>657</v>
      </c>
      <c r="M82" s="67">
        <f t="shared" si="14"/>
        <v>-1974.9419999999511</v>
      </c>
      <c r="N82" s="77"/>
    </row>
    <row r="83" spans="1:14" x14ac:dyDescent="0.3">
      <c r="A83" s="313">
        <f t="shared" si="15"/>
        <v>77</v>
      </c>
      <c r="B83" s="212" t="s">
        <v>171</v>
      </c>
      <c r="C83" s="212" t="s">
        <v>13</v>
      </c>
      <c r="D83" s="213" t="s">
        <v>149</v>
      </c>
      <c r="E83" s="218" t="s">
        <v>177</v>
      </c>
      <c r="F83" s="103">
        <v>57.5</v>
      </c>
      <c r="G83" s="103">
        <f t="shared" si="19"/>
        <v>57.5</v>
      </c>
      <c r="H83" s="103">
        <v>350</v>
      </c>
      <c r="I83" s="103">
        <f t="shared" si="20"/>
        <v>20</v>
      </c>
      <c r="J83" s="19">
        <f t="shared" si="16"/>
        <v>-1.3916666666666322E-2</v>
      </c>
      <c r="K83" s="210">
        <f t="shared" si="18"/>
        <v>-0.27833333333332644</v>
      </c>
      <c r="L83" s="103">
        <v>18</v>
      </c>
      <c r="M83" s="67">
        <f t="shared" si="14"/>
        <v>-60.119999999998505</v>
      </c>
      <c r="N83" s="77"/>
    </row>
    <row r="84" spans="1:14" x14ac:dyDescent="0.3">
      <c r="A84" s="313">
        <f t="shared" si="15"/>
        <v>78</v>
      </c>
      <c r="B84" s="212" t="s">
        <v>171</v>
      </c>
      <c r="C84" s="212" t="s">
        <v>13</v>
      </c>
      <c r="D84" s="213" t="s">
        <v>149</v>
      </c>
      <c r="E84" s="218" t="s">
        <v>178</v>
      </c>
      <c r="F84" s="103">
        <v>62.5</v>
      </c>
      <c r="G84" s="103">
        <f t="shared" si="19"/>
        <v>62.5</v>
      </c>
      <c r="H84" s="103">
        <v>350</v>
      </c>
      <c r="I84" s="103">
        <f t="shared" si="20"/>
        <v>22</v>
      </c>
      <c r="J84" s="19">
        <f t="shared" si="16"/>
        <v>-1.3916666666666322E-2</v>
      </c>
      <c r="K84" s="210">
        <f t="shared" si="18"/>
        <v>-0.30616666666665909</v>
      </c>
      <c r="L84" s="103">
        <v>10</v>
      </c>
      <c r="M84" s="67">
        <f t="shared" si="14"/>
        <v>-36.739999999999092</v>
      </c>
      <c r="N84" s="77"/>
    </row>
    <row r="85" spans="1:14" x14ac:dyDescent="0.3">
      <c r="A85" s="313">
        <f t="shared" si="15"/>
        <v>79</v>
      </c>
      <c r="B85" s="212" t="s">
        <v>171</v>
      </c>
      <c r="C85" s="212" t="s">
        <v>13</v>
      </c>
      <c r="D85" s="213" t="s">
        <v>149</v>
      </c>
      <c r="E85" s="218" t="s">
        <v>179</v>
      </c>
      <c r="F85" s="103">
        <v>67.5</v>
      </c>
      <c r="G85" s="103">
        <f t="shared" si="19"/>
        <v>67.5</v>
      </c>
      <c r="H85" s="103">
        <v>350</v>
      </c>
      <c r="I85" s="103">
        <f t="shared" si="20"/>
        <v>24</v>
      </c>
      <c r="J85" s="19">
        <f t="shared" si="16"/>
        <v>-1.3916666666666322E-2</v>
      </c>
      <c r="K85" s="210">
        <f t="shared" si="18"/>
        <v>-0.33399999999999175</v>
      </c>
      <c r="L85" s="103">
        <v>2</v>
      </c>
      <c r="M85" s="67">
        <f t="shared" si="14"/>
        <v>-8.0159999999998028</v>
      </c>
      <c r="N85" s="77"/>
    </row>
    <row r="86" spans="1:14" x14ac:dyDescent="0.3">
      <c r="A86" s="313">
        <f t="shared" si="15"/>
        <v>80</v>
      </c>
      <c r="B86" s="212" t="s">
        <v>171</v>
      </c>
      <c r="C86" s="212" t="s">
        <v>13</v>
      </c>
      <c r="D86" s="213" t="s">
        <v>149</v>
      </c>
      <c r="E86" s="218" t="s">
        <v>180</v>
      </c>
      <c r="F86" s="103">
        <v>72.5</v>
      </c>
      <c r="G86" s="103">
        <f t="shared" si="19"/>
        <v>72.5</v>
      </c>
      <c r="H86" s="103">
        <v>350</v>
      </c>
      <c r="I86" s="103">
        <f t="shared" si="20"/>
        <v>25</v>
      </c>
      <c r="J86" s="19">
        <f t="shared" si="16"/>
        <v>-1.3916666666666322E-2</v>
      </c>
      <c r="K86" s="210">
        <f t="shared" si="18"/>
        <v>-0.34791666666665805</v>
      </c>
      <c r="L86" s="103">
        <v>1</v>
      </c>
      <c r="M86" s="67">
        <f t="shared" si="14"/>
        <v>-4.1749999999998968</v>
      </c>
      <c r="N86" s="77"/>
    </row>
    <row r="87" spans="1:14" x14ac:dyDescent="0.3">
      <c r="A87" s="313">
        <f t="shared" si="15"/>
        <v>81</v>
      </c>
      <c r="B87" s="212" t="s">
        <v>171</v>
      </c>
      <c r="C87" s="212" t="s">
        <v>13</v>
      </c>
      <c r="D87" s="213" t="s">
        <v>149</v>
      </c>
      <c r="E87" s="218" t="s">
        <v>181</v>
      </c>
      <c r="F87" s="103">
        <v>77.5</v>
      </c>
      <c r="G87" s="103">
        <f t="shared" si="19"/>
        <v>77.5</v>
      </c>
      <c r="H87" s="103">
        <v>350</v>
      </c>
      <c r="I87" s="103">
        <f t="shared" si="20"/>
        <v>27</v>
      </c>
      <c r="J87" s="19">
        <f t="shared" si="16"/>
        <v>-1.3916666666666322E-2</v>
      </c>
      <c r="K87" s="210">
        <f t="shared" si="18"/>
        <v>-0.3757499999999907</v>
      </c>
      <c r="L87" s="103">
        <v>7</v>
      </c>
      <c r="M87" s="67">
        <f t="shared" si="14"/>
        <v>-31.562999999999221</v>
      </c>
      <c r="N87" s="77"/>
    </row>
    <row r="88" spans="1:14" x14ac:dyDescent="0.3">
      <c r="A88" s="313">
        <f t="shared" si="15"/>
        <v>82</v>
      </c>
      <c r="B88" s="212" t="s">
        <v>171</v>
      </c>
      <c r="C88" s="212" t="s">
        <v>13</v>
      </c>
      <c r="D88" s="213" t="s">
        <v>149</v>
      </c>
      <c r="E88" s="218" t="s">
        <v>182</v>
      </c>
      <c r="F88" s="103">
        <v>82.5</v>
      </c>
      <c r="G88" s="103">
        <f t="shared" si="19"/>
        <v>82.5</v>
      </c>
      <c r="H88" s="103">
        <v>350</v>
      </c>
      <c r="I88" s="103">
        <f t="shared" si="20"/>
        <v>29</v>
      </c>
      <c r="J88" s="19">
        <f t="shared" si="16"/>
        <v>-1.3916666666666322E-2</v>
      </c>
      <c r="K88" s="210">
        <f t="shared" si="18"/>
        <v>-0.40358333333332336</v>
      </c>
      <c r="L88" s="103"/>
      <c r="M88" s="67">
        <f t="shared" si="14"/>
        <v>0</v>
      </c>
      <c r="N88" s="77"/>
    </row>
    <row r="89" spans="1:14" x14ac:dyDescent="0.3">
      <c r="A89" s="313">
        <f t="shared" si="15"/>
        <v>83</v>
      </c>
      <c r="B89" s="212" t="s">
        <v>171</v>
      </c>
      <c r="C89" s="212" t="s">
        <v>13</v>
      </c>
      <c r="D89" s="213" t="s">
        <v>149</v>
      </c>
      <c r="E89" s="218" t="s">
        <v>183</v>
      </c>
      <c r="F89" s="103">
        <v>87.5</v>
      </c>
      <c r="G89" s="103">
        <f t="shared" si="19"/>
        <v>87.5</v>
      </c>
      <c r="H89" s="103">
        <v>350</v>
      </c>
      <c r="I89" s="103">
        <f t="shared" si="20"/>
        <v>31</v>
      </c>
      <c r="J89" s="19">
        <f t="shared" si="16"/>
        <v>-1.3916666666666322E-2</v>
      </c>
      <c r="K89" s="210">
        <f t="shared" si="18"/>
        <v>-0.43141666666665601</v>
      </c>
      <c r="L89" s="103">
        <v>23</v>
      </c>
      <c r="M89" s="67">
        <f t="shared" si="14"/>
        <v>-119.07099999999707</v>
      </c>
      <c r="N89" s="77"/>
    </row>
    <row r="90" spans="1:14" x14ac:dyDescent="0.3">
      <c r="A90" s="313">
        <f t="shared" si="15"/>
        <v>84</v>
      </c>
      <c r="B90" s="212" t="s">
        <v>171</v>
      </c>
      <c r="C90" s="212" t="s">
        <v>13</v>
      </c>
      <c r="D90" s="213" t="s">
        <v>149</v>
      </c>
      <c r="E90" s="218" t="s">
        <v>184</v>
      </c>
      <c r="F90" s="103">
        <v>92.5</v>
      </c>
      <c r="G90" s="103">
        <f t="shared" si="19"/>
        <v>92.5</v>
      </c>
      <c r="H90" s="103">
        <v>350</v>
      </c>
      <c r="I90" s="103">
        <f t="shared" si="20"/>
        <v>32</v>
      </c>
      <c r="J90" s="19">
        <f t="shared" si="16"/>
        <v>-1.3916666666666322E-2</v>
      </c>
      <c r="K90" s="210">
        <f t="shared" si="18"/>
        <v>-0.44533333333332231</v>
      </c>
      <c r="L90" s="103">
        <v>25</v>
      </c>
      <c r="M90" s="67">
        <f t="shared" si="14"/>
        <v>-133.5999999999967</v>
      </c>
      <c r="N90" s="77"/>
    </row>
    <row r="91" spans="1:14" x14ac:dyDescent="0.3">
      <c r="A91" s="313">
        <f t="shared" si="15"/>
        <v>85</v>
      </c>
      <c r="B91" s="212" t="s">
        <v>171</v>
      </c>
      <c r="C91" s="212" t="s">
        <v>13</v>
      </c>
      <c r="D91" s="213" t="s">
        <v>149</v>
      </c>
      <c r="E91" s="218" t="s">
        <v>185</v>
      </c>
      <c r="F91" s="103">
        <v>97.5</v>
      </c>
      <c r="G91" s="103">
        <f t="shared" si="19"/>
        <v>97.5</v>
      </c>
      <c r="H91" s="103">
        <v>350</v>
      </c>
      <c r="I91" s="103">
        <f t="shared" si="20"/>
        <v>34</v>
      </c>
      <c r="J91" s="19">
        <f t="shared" si="16"/>
        <v>-1.3916666666666322E-2</v>
      </c>
      <c r="K91" s="210">
        <f t="shared" si="18"/>
        <v>-0.47316666666665497</v>
      </c>
      <c r="L91" s="103">
        <v>10</v>
      </c>
      <c r="M91" s="67">
        <f t="shared" si="14"/>
        <v>-56.779999999998601</v>
      </c>
      <c r="N91" s="77"/>
    </row>
    <row r="92" spans="1:14" x14ac:dyDescent="0.3">
      <c r="A92" s="313">
        <f t="shared" si="15"/>
        <v>86</v>
      </c>
      <c r="B92" s="212" t="s">
        <v>171</v>
      </c>
      <c r="C92" s="212" t="s">
        <v>13</v>
      </c>
      <c r="D92" s="213" t="s">
        <v>149</v>
      </c>
      <c r="E92" s="218" t="s">
        <v>186</v>
      </c>
      <c r="F92" s="103">
        <v>102.5</v>
      </c>
      <c r="G92" s="103">
        <f t="shared" si="19"/>
        <v>102.5</v>
      </c>
      <c r="H92" s="103">
        <v>350</v>
      </c>
      <c r="I92" s="103">
        <f t="shared" si="20"/>
        <v>36</v>
      </c>
      <c r="J92" s="19">
        <f t="shared" si="16"/>
        <v>-1.3916666666666322E-2</v>
      </c>
      <c r="K92" s="210">
        <f t="shared" si="18"/>
        <v>-0.50099999999998757</v>
      </c>
      <c r="L92" s="103"/>
      <c r="M92" s="67">
        <f t="shared" si="14"/>
        <v>0</v>
      </c>
      <c r="N92" s="77"/>
    </row>
    <row r="93" spans="1:14" x14ac:dyDescent="0.3">
      <c r="A93" s="313">
        <f t="shared" si="15"/>
        <v>87</v>
      </c>
      <c r="B93" s="212" t="s">
        <v>171</v>
      </c>
      <c r="C93" s="212" t="s">
        <v>13</v>
      </c>
      <c r="D93" s="213" t="s">
        <v>149</v>
      </c>
      <c r="E93" s="218" t="s">
        <v>187</v>
      </c>
      <c r="F93" s="103">
        <v>107.5</v>
      </c>
      <c r="G93" s="103">
        <f t="shared" si="19"/>
        <v>107.5</v>
      </c>
      <c r="H93" s="103">
        <v>350</v>
      </c>
      <c r="I93" s="103">
        <f t="shared" si="20"/>
        <v>38</v>
      </c>
      <c r="J93" s="19">
        <f t="shared" si="16"/>
        <v>-1.3916666666666322E-2</v>
      </c>
      <c r="K93" s="210">
        <f t="shared" si="18"/>
        <v>-0.52883333333332028</v>
      </c>
      <c r="L93" s="103">
        <v>1</v>
      </c>
      <c r="M93" s="67">
        <f t="shared" si="14"/>
        <v>-6.3459999999998438</v>
      </c>
      <c r="N93" s="77"/>
    </row>
    <row r="94" spans="1:14" x14ac:dyDescent="0.3">
      <c r="A94" s="313">
        <f t="shared" si="15"/>
        <v>88</v>
      </c>
      <c r="B94" s="212" t="s">
        <v>171</v>
      </c>
      <c r="C94" s="212" t="s">
        <v>13</v>
      </c>
      <c r="D94" s="213" t="s">
        <v>149</v>
      </c>
      <c r="E94" s="218" t="s">
        <v>188</v>
      </c>
      <c r="F94" s="103">
        <v>112.5</v>
      </c>
      <c r="G94" s="103">
        <f t="shared" si="19"/>
        <v>112.5</v>
      </c>
      <c r="H94" s="103">
        <v>350</v>
      </c>
      <c r="I94" s="103">
        <f t="shared" si="20"/>
        <v>39</v>
      </c>
      <c r="J94" s="19">
        <f t="shared" si="16"/>
        <v>-1.3916666666666322E-2</v>
      </c>
      <c r="K94" s="210">
        <f t="shared" si="18"/>
        <v>-0.54274999999998652</v>
      </c>
      <c r="L94" s="103"/>
      <c r="M94" s="67">
        <f t="shared" si="14"/>
        <v>0</v>
      </c>
      <c r="N94" s="77"/>
    </row>
    <row r="95" spans="1:14" x14ac:dyDescent="0.3">
      <c r="A95" s="313">
        <f t="shared" si="15"/>
        <v>89</v>
      </c>
      <c r="B95" s="212" t="s">
        <v>171</v>
      </c>
      <c r="C95" s="212" t="s">
        <v>13</v>
      </c>
      <c r="D95" s="213" t="s">
        <v>149</v>
      </c>
      <c r="E95" s="218" t="s">
        <v>189</v>
      </c>
      <c r="F95" s="103">
        <v>117.5</v>
      </c>
      <c r="G95" s="103">
        <f t="shared" si="19"/>
        <v>117.5</v>
      </c>
      <c r="H95" s="103">
        <v>350</v>
      </c>
      <c r="I95" s="103">
        <f t="shared" si="20"/>
        <v>41</v>
      </c>
      <c r="J95" s="19">
        <f t="shared" si="16"/>
        <v>-1.3916666666666322E-2</v>
      </c>
      <c r="K95" s="210">
        <f t="shared" si="18"/>
        <v>-0.57058333333331923</v>
      </c>
      <c r="L95" s="103"/>
      <c r="M95" s="67">
        <f t="shared" si="14"/>
        <v>0</v>
      </c>
      <c r="N95" s="77"/>
    </row>
    <row r="96" spans="1:14" x14ac:dyDescent="0.3">
      <c r="A96" s="313">
        <f t="shared" si="15"/>
        <v>90</v>
      </c>
      <c r="B96" s="212" t="s">
        <v>171</v>
      </c>
      <c r="C96" s="212" t="s">
        <v>13</v>
      </c>
      <c r="D96" s="213" t="s">
        <v>149</v>
      </c>
      <c r="E96" s="218" t="s">
        <v>190</v>
      </c>
      <c r="F96" s="103">
        <v>122.5</v>
      </c>
      <c r="G96" s="103">
        <f t="shared" si="19"/>
        <v>122.5</v>
      </c>
      <c r="H96" s="103">
        <v>350</v>
      </c>
      <c r="I96" s="103">
        <f t="shared" si="20"/>
        <v>43</v>
      </c>
      <c r="J96" s="19">
        <f t="shared" si="16"/>
        <v>-1.3916666666666322E-2</v>
      </c>
      <c r="K96" s="210">
        <f t="shared" si="18"/>
        <v>-0.59841666666665183</v>
      </c>
      <c r="L96" s="103"/>
      <c r="M96" s="67">
        <f t="shared" si="14"/>
        <v>0</v>
      </c>
      <c r="N96" s="77"/>
    </row>
    <row r="97" spans="1:14" x14ac:dyDescent="0.3">
      <c r="A97" s="313">
        <f t="shared" si="15"/>
        <v>91</v>
      </c>
      <c r="B97" s="212" t="s">
        <v>171</v>
      </c>
      <c r="C97" s="212" t="s">
        <v>13</v>
      </c>
      <c r="D97" s="213" t="s">
        <v>149</v>
      </c>
      <c r="E97" s="218" t="s">
        <v>191</v>
      </c>
      <c r="F97" s="103">
        <v>127.5</v>
      </c>
      <c r="G97" s="103">
        <f t="shared" si="19"/>
        <v>127.5</v>
      </c>
      <c r="H97" s="103">
        <v>350</v>
      </c>
      <c r="I97" s="103">
        <f t="shared" si="20"/>
        <v>45</v>
      </c>
      <c r="J97" s="19">
        <f t="shared" si="16"/>
        <v>-1.3916666666666322E-2</v>
      </c>
      <c r="K97" s="210">
        <f t="shared" si="18"/>
        <v>-0.62624999999998454</v>
      </c>
      <c r="L97" s="103">
        <v>130</v>
      </c>
      <c r="M97" s="67">
        <f t="shared" si="14"/>
        <v>-976.94999999997594</v>
      </c>
      <c r="N97" s="77"/>
    </row>
    <row r="98" spans="1:14" x14ac:dyDescent="0.3">
      <c r="A98" s="313">
        <f t="shared" si="15"/>
        <v>92</v>
      </c>
      <c r="B98" s="212" t="s">
        <v>171</v>
      </c>
      <c r="C98" s="212" t="s">
        <v>13</v>
      </c>
      <c r="D98" s="213" t="s">
        <v>149</v>
      </c>
      <c r="E98" s="218" t="s">
        <v>192</v>
      </c>
      <c r="F98" s="103">
        <v>132.5</v>
      </c>
      <c r="G98" s="103">
        <f t="shared" si="19"/>
        <v>132.5</v>
      </c>
      <c r="H98" s="103">
        <v>350</v>
      </c>
      <c r="I98" s="103">
        <f t="shared" si="20"/>
        <v>46</v>
      </c>
      <c r="J98" s="19">
        <f t="shared" si="16"/>
        <v>-1.3916666666666322E-2</v>
      </c>
      <c r="K98" s="210">
        <f t="shared" si="18"/>
        <v>-0.64016666666665079</v>
      </c>
      <c r="L98" s="103"/>
      <c r="M98" s="67">
        <f t="shared" si="14"/>
        <v>0</v>
      </c>
      <c r="N98" s="77"/>
    </row>
    <row r="99" spans="1:14" x14ac:dyDescent="0.3">
      <c r="A99" s="313">
        <f t="shared" si="15"/>
        <v>93</v>
      </c>
      <c r="B99" s="212" t="s">
        <v>171</v>
      </c>
      <c r="C99" s="212" t="s">
        <v>13</v>
      </c>
      <c r="D99" s="213" t="s">
        <v>149</v>
      </c>
      <c r="E99" s="218" t="s">
        <v>193</v>
      </c>
      <c r="F99" s="103">
        <v>137.5</v>
      </c>
      <c r="G99" s="103">
        <f t="shared" si="19"/>
        <v>137.5</v>
      </c>
      <c r="H99" s="103">
        <v>350</v>
      </c>
      <c r="I99" s="103">
        <f t="shared" si="20"/>
        <v>48</v>
      </c>
      <c r="J99" s="19">
        <f t="shared" si="16"/>
        <v>-1.3916666666666322E-2</v>
      </c>
      <c r="K99" s="210">
        <f t="shared" si="18"/>
        <v>-0.6679999999999835</v>
      </c>
      <c r="L99" s="103"/>
      <c r="M99" s="67">
        <f t="shared" si="14"/>
        <v>0</v>
      </c>
      <c r="N99" s="77"/>
    </row>
    <row r="100" spans="1:14" x14ac:dyDescent="0.3">
      <c r="A100" s="313">
        <f t="shared" si="15"/>
        <v>94</v>
      </c>
      <c r="B100" s="212" t="s">
        <v>171</v>
      </c>
      <c r="C100" s="212" t="s">
        <v>13</v>
      </c>
      <c r="D100" s="213" t="s">
        <v>149</v>
      </c>
      <c r="E100" s="218" t="s">
        <v>194</v>
      </c>
      <c r="F100" s="103">
        <v>142.5</v>
      </c>
      <c r="G100" s="103">
        <f t="shared" si="19"/>
        <v>142.5</v>
      </c>
      <c r="H100" s="103">
        <v>350</v>
      </c>
      <c r="I100" s="103">
        <f t="shared" si="20"/>
        <v>50</v>
      </c>
      <c r="J100" s="19">
        <f t="shared" si="16"/>
        <v>-1.3916666666666322E-2</v>
      </c>
      <c r="K100" s="210">
        <f t="shared" si="18"/>
        <v>-0.6958333333333161</v>
      </c>
      <c r="L100" s="103"/>
      <c r="M100" s="67">
        <f t="shared" si="14"/>
        <v>0</v>
      </c>
      <c r="N100" s="77"/>
    </row>
    <row r="101" spans="1:14" x14ac:dyDescent="0.3">
      <c r="A101" s="313">
        <f t="shared" si="15"/>
        <v>95</v>
      </c>
      <c r="B101" s="212" t="s">
        <v>171</v>
      </c>
      <c r="C101" s="212" t="s">
        <v>13</v>
      </c>
      <c r="D101" s="213" t="s">
        <v>149</v>
      </c>
      <c r="E101" s="218" t="s">
        <v>195</v>
      </c>
      <c r="F101" s="103">
        <v>147.5</v>
      </c>
      <c r="G101" s="103">
        <f t="shared" si="19"/>
        <v>147.5</v>
      </c>
      <c r="H101" s="103">
        <v>350</v>
      </c>
      <c r="I101" s="103">
        <f t="shared" si="20"/>
        <v>52</v>
      </c>
      <c r="J101" s="19">
        <f t="shared" si="16"/>
        <v>-1.3916666666666322E-2</v>
      </c>
      <c r="K101" s="210">
        <f t="shared" si="18"/>
        <v>-0.72366666666664881</v>
      </c>
      <c r="L101" s="103"/>
      <c r="M101" s="67">
        <f t="shared" si="14"/>
        <v>0</v>
      </c>
      <c r="N101" s="77"/>
    </row>
    <row r="102" spans="1:14" x14ac:dyDescent="0.3">
      <c r="A102" s="313">
        <f t="shared" si="15"/>
        <v>96</v>
      </c>
      <c r="B102" s="212" t="s">
        <v>171</v>
      </c>
      <c r="C102" s="212" t="s">
        <v>13</v>
      </c>
      <c r="D102" s="213" t="s">
        <v>149</v>
      </c>
      <c r="E102" s="218" t="s">
        <v>196</v>
      </c>
      <c r="F102" s="103">
        <v>152.5</v>
      </c>
      <c r="G102" s="103">
        <f t="shared" si="19"/>
        <v>152.5</v>
      </c>
      <c r="H102" s="103">
        <v>350</v>
      </c>
      <c r="I102" s="103">
        <f t="shared" si="20"/>
        <v>53</v>
      </c>
      <c r="J102" s="19">
        <f t="shared" si="16"/>
        <v>-1.3916666666666322E-2</v>
      </c>
      <c r="K102" s="210">
        <f t="shared" si="18"/>
        <v>-0.73758333333331505</v>
      </c>
      <c r="L102" s="103"/>
      <c r="M102" s="67">
        <f t="shared" si="14"/>
        <v>0</v>
      </c>
      <c r="N102" s="77"/>
    </row>
    <row r="103" spans="1:14" x14ac:dyDescent="0.3">
      <c r="A103" s="313">
        <f t="shared" si="15"/>
        <v>97</v>
      </c>
      <c r="B103" s="212" t="s">
        <v>171</v>
      </c>
      <c r="C103" s="212" t="s">
        <v>13</v>
      </c>
      <c r="D103" s="213" t="s">
        <v>149</v>
      </c>
      <c r="E103" s="218" t="s">
        <v>197</v>
      </c>
      <c r="F103" s="103">
        <v>157.5</v>
      </c>
      <c r="G103" s="103">
        <f t="shared" si="19"/>
        <v>157.5</v>
      </c>
      <c r="H103" s="103">
        <v>350</v>
      </c>
      <c r="I103" s="103">
        <f t="shared" si="20"/>
        <v>55</v>
      </c>
      <c r="J103" s="19">
        <f t="shared" si="16"/>
        <v>-1.3916666666666322E-2</v>
      </c>
      <c r="K103" s="210">
        <f t="shared" si="18"/>
        <v>-0.76541666666664776</v>
      </c>
      <c r="L103" s="103"/>
      <c r="M103" s="67">
        <f t="shared" si="14"/>
        <v>0</v>
      </c>
      <c r="N103" s="77"/>
    </row>
    <row r="104" spans="1:14" x14ac:dyDescent="0.3">
      <c r="A104" s="313">
        <f t="shared" si="15"/>
        <v>98</v>
      </c>
      <c r="B104" s="212" t="s">
        <v>171</v>
      </c>
      <c r="C104" s="212" t="s">
        <v>13</v>
      </c>
      <c r="D104" s="213" t="s">
        <v>149</v>
      </c>
      <c r="E104" s="218" t="s">
        <v>198</v>
      </c>
      <c r="F104" s="103">
        <v>162.5</v>
      </c>
      <c r="G104" s="103">
        <f t="shared" si="19"/>
        <v>162.5</v>
      </c>
      <c r="H104" s="103">
        <v>350</v>
      </c>
      <c r="I104" s="103">
        <f t="shared" si="20"/>
        <v>57</v>
      </c>
      <c r="J104" s="19">
        <f t="shared" si="16"/>
        <v>-1.3916666666666322E-2</v>
      </c>
      <c r="K104" s="210">
        <f t="shared" si="18"/>
        <v>-0.79324999999998036</v>
      </c>
      <c r="L104" s="103"/>
      <c r="M104" s="67">
        <f t="shared" si="14"/>
        <v>0</v>
      </c>
      <c r="N104" s="77"/>
    </row>
    <row r="105" spans="1:14" x14ac:dyDescent="0.3">
      <c r="A105" s="313">
        <f t="shared" si="15"/>
        <v>99</v>
      </c>
      <c r="B105" s="212" t="s">
        <v>171</v>
      </c>
      <c r="C105" s="212" t="s">
        <v>13</v>
      </c>
      <c r="D105" s="213" t="s">
        <v>149</v>
      </c>
      <c r="E105" s="218" t="s">
        <v>199</v>
      </c>
      <c r="F105" s="103">
        <v>167.5</v>
      </c>
      <c r="G105" s="103">
        <f t="shared" si="19"/>
        <v>167.5</v>
      </c>
      <c r="H105" s="103">
        <v>350</v>
      </c>
      <c r="I105" s="103">
        <f t="shared" si="20"/>
        <v>59</v>
      </c>
      <c r="J105" s="19">
        <f t="shared" si="16"/>
        <v>-1.3916666666666322E-2</v>
      </c>
      <c r="K105" s="210">
        <f t="shared" si="18"/>
        <v>-0.82108333333331296</v>
      </c>
      <c r="L105" s="103">
        <v>4</v>
      </c>
      <c r="M105" s="67">
        <f t="shared" si="14"/>
        <v>-39.411999999999026</v>
      </c>
      <c r="N105" s="77"/>
    </row>
    <row r="106" spans="1:14" x14ac:dyDescent="0.3">
      <c r="A106" s="313">
        <f t="shared" si="15"/>
        <v>100</v>
      </c>
      <c r="B106" s="212" t="s">
        <v>171</v>
      </c>
      <c r="C106" s="212" t="s">
        <v>13</v>
      </c>
      <c r="D106" s="213" t="s">
        <v>149</v>
      </c>
      <c r="E106" s="218" t="s">
        <v>200</v>
      </c>
      <c r="F106" s="103">
        <v>172.5</v>
      </c>
      <c r="G106" s="103">
        <f t="shared" si="19"/>
        <v>172.5</v>
      </c>
      <c r="H106" s="103">
        <v>350</v>
      </c>
      <c r="I106" s="103">
        <f t="shared" si="20"/>
        <v>60</v>
      </c>
      <c r="J106" s="19">
        <f t="shared" si="16"/>
        <v>-1.3916666666666322E-2</v>
      </c>
      <c r="K106" s="210">
        <f t="shared" si="18"/>
        <v>-0.83499999999997931</v>
      </c>
      <c r="L106" s="103"/>
      <c r="M106" s="67">
        <f t="shared" si="14"/>
        <v>0</v>
      </c>
      <c r="N106" s="77"/>
    </row>
    <row r="107" spans="1:14" x14ac:dyDescent="0.3">
      <c r="A107" s="313">
        <f t="shared" si="15"/>
        <v>101</v>
      </c>
      <c r="B107" s="212" t="s">
        <v>171</v>
      </c>
      <c r="C107" s="212" t="s">
        <v>13</v>
      </c>
      <c r="D107" s="213" t="s">
        <v>149</v>
      </c>
      <c r="E107" s="218" t="s">
        <v>201</v>
      </c>
      <c r="F107" s="103">
        <v>177.5</v>
      </c>
      <c r="G107" s="103">
        <f t="shared" si="19"/>
        <v>177.5</v>
      </c>
      <c r="H107" s="103">
        <v>350</v>
      </c>
      <c r="I107" s="103">
        <f t="shared" si="20"/>
        <v>62</v>
      </c>
      <c r="J107" s="19">
        <f t="shared" si="16"/>
        <v>-1.3916666666666322E-2</v>
      </c>
      <c r="K107" s="210">
        <f t="shared" si="18"/>
        <v>-0.86283333333331202</v>
      </c>
      <c r="L107" s="103">
        <v>1</v>
      </c>
      <c r="M107" s="67">
        <f t="shared" si="14"/>
        <v>-10.353999999999743</v>
      </c>
      <c r="N107" s="77"/>
    </row>
    <row r="108" spans="1:14" x14ac:dyDescent="0.3">
      <c r="A108" s="313">
        <f t="shared" si="15"/>
        <v>102</v>
      </c>
      <c r="B108" s="212" t="s">
        <v>171</v>
      </c>
      <c r="C108" s="212" t="s">
        <v>13</v>
      </c>
      <c r="D108" s="213" t="s">
        <v>149</v>
      </c>
      <c r="E108" s="218" t="s">
        <v>202</v>
      </c>
      <c r="F108" s="103">
        <v>182.5</v>
      </c>
      <c r="G108" s="103">
        <f t="shared" si="19"/>
        <v>182.5</v>
      </c>
      <c r="H108" s="103">
        <v>350</v>
      </c>
      <c r="I108" s="103">
        <f t="shared" si="20"/>
        <v>64</v>
      </c>
      <c r="J108" s="19">
        <f t="shared" si="16"/>
        <v>-1.3916666666666322E-2</v>
      </c>
      <c r="K108" s="210">
        <f t="shared" si="18"/>
        <v>-0.89066666666664462</v>
      </c>
      <c r="L108" s="103"/>
      <c r="M108" s="67">
        <f t="shared" si="14"/>
        <v>0</v>
      </c>
      <c r="N108" s="77"/>
    </row>
    <row r="109" spans="1:14" x14ac:dyDescent="0.3">
      <c r="A109" s="313">
        <f t="shared" si="15"/>
        <v>103</v>
      </c>
      <c r="B109" s="212" t="s">
        <v>171</v>
      </c>
      <c r="C109" s="212" t="s">
        <v>13</v>
      </c>
      <c r="D109" s="213" t="s">
        <v>149</v>
      </c>
      <c r="E109" s="218" t="s">
        <v>203</v>
      </c>
      <c r="F109" s="103">
        <v>187.5</v>
      </c>
      <c r="G109" s="103">
        <f t="shared" si="19"/>
        <v>187.5</v>
      </c>
      <c r="H109" s="103">
        <v>350</v>
      </c>
      <c r="I109" s="103">
        <f t="shared" si="20"/>
        <v>66</v>
      </c>
      <c r="J109" s="19">
        <f t="shared" si="16"/>
        <v>-1.3916666666666322E-2</v>
      </c>
      <c r="K109" s="210">
        <f t="shared" si="18"/>
        <v>-0.91849999999997722</v>
      </c>
      <c r="L109" s="103">
        <v>1</v>
      </c>
      <c r="M109" s="67">
        <f t="shared" si="14"/>
        <v>-11.021999999999727</v>
      </c>
      <c r="N109" s="77"/>
    </row>
    <row r="110" spans="1:14" x14ac:dyDescent="0.3">
      <c r="A110" s="313">
        <f t="shared" si="15"/>
        <v>104</v>
      </c>
      <c r="B110" s="212" t="s">
        <v>171</v>
      </c>
      <c r="C110" s="212" t="s">
        <v>13</v>
      </c>
      <c r="D110" s="213" t="s">
        <v>149</v>
      </c>
      <c r="E110" s="218" t="s">
        <v>204</v>
      </c>
      <c r="F110" s="103">
        <v>192.5</v>
      </c>
      <c r="G110" s="103">
        <f t="shared" si="19"/>
        <v>192.5</v>
      </c>
      <c r="H110" s="103">
        <v>350</v>
      </c>
      <c r="I110" s="103">
        <f t="shared" si="20"/>
        <v>67</v>
      </c>
      <c r="J110" s="19">
        <f t="shared" si="16"/>
        <v>-1.3916666666666322E-2</v>
      </c>
      <c r="K110" s="210">
        <f t="shared" si="18"/>
        <v>-0.93241666666664358</v>
      </c>
      <c r="L110" s="103"/>
      <c r="M110" s="67">
        <f t="shared" si="14"/>
        <v>0</v>
      </c>
      <c r="N110" s="77"/>
    </row>
    <row r="111" spans="1:14" x14ac:dyDescent="0.3">
      <c r="A111" s="313">
        <f t="shared" si="15"/>
        <v>105</v>
      </c>
      <c r="B111" s="212" t="s">
        <v>171</v>
      </c>
      <c r="C111" s="212" t="s">
        <v>13</v>
      </c>
      <c r="D111" s="213" t="s">
        <v>149</v>
      </c>
      <c r="E111" s="218" t="s">
        <v>205</v>
      </c>
      <c r="F111" s="103">
        <v>197.5</v>
      </c>
      <c r="G111" s="103">
        <f t="shared" si="19"/>
        <v>197.5</v>
      </c>
      <c r="H111" s="103">
        <v>350</v>
      </c>
      <c r="I111" s="103">
        <f t="shared" si="20"/>
        <v>69</v>
      </c>
      <c r="J111" s="19">
        <f t="shared" si="16"/>
        <v>-1.3916666666666322E-2</v>
      </c>
      <c r="K111" s="210">
        <f t="shared" si="18"/>
        <v>-0.96024999999997629</v>
      </c>
      <c r="L111" s="103">
        <v>3</v>
      </c>
      <c r="M111" s="67">
        <f t="shared" si="14"/>
        <v>-34.56899999999915</v>
      </c>
      <c r="N111" s="77"/>
    </row>
    <row r="112" spans="1:14" x14ac:dyDescent="0.3">
      <c r="A112" s="313">
        <f t="shared" si="15"/>
        <v>106</v>
      </c>
      <c r="B112" s="212" t="s">
        <v>171</v>
      </c>
      <c r="C112" s="212" t="s">
        <v>13</v>
      </c>
      <c r="D112" s="213" t="s">
        <v>149</v>
      </c>
      <c r="E112" s="218" t="s">
        <v>206</v>
      </c>
      <c r="F112" s="103">
        <v>202.5</v>
      </c>
      <c r="G112" s="103">
        <f t="shared" si="19"/>
        <v>202.5</v>
      </c>
      <c r="H112" s="103">
        <v>350</v>
      </c>
      <c r="I112" s="103">
        <f t="shared" si="20"/>
        <v>71</v>
      </c>
      <c r="J112" s="19">
        <f t="shared" si="16"/>
        <v>-1.3916666666666322E-2</v>
      </c>
      <c r="K112" s="210">
        <f t="shared" si="18"/>
        <v>-0.98808333333330889</v>
      </c>
      <c r="L112" s="103"/>
      <c r="M112" s="67">
        <f t="shared" si="14"/>
        <v>0</v>
      </c>
      <c r="N112" s="77"/>
    </row>
    <row r="113" spans="1:14" x14ac:dyDescent="0.3">
      <c r="A113" s="313">
        <f t="shared" si="15"/>
        <v>107</v>
      </c>
      <c r="B113" s="212" t="s">
        <v>171</v>
      </c>
      <c r="C113" s="212" t="s">
        <v>13</v>
      </c>
      <c r="D113" s="213" t="s">
        <v>149</v>
      </c>
      <c r="E113" s="218" t="s">
        <v>207</v>
      </c>
      <c r="F113" s="103">
        <v>207.5</v>
      </c>
      <c r="G113" s="103">
        <f t="shared" si="19"/>
        <v>207.5</v>
      </c>
      <c r="H113" s="103">
        <v>350</v>
      </c>
      <c r="I113" s="103">
        <f t="shared" si="20"/>
        <v>73</v>
      </c>
      <c r="J113" s="19">
        <f t="shared" si="16"/>
        <v>-1.3916666666666322E-2</v>
      </c>
      <c r="K113" s="210">
        <f t="shared" si="18"/>
        <v>-1.0159166666666415</v>
      </c>
      <c r="L113" s="103"/>
      <c r="M113" s="67">
        <f t="shared" si="14"/>
        <v>0</v>
      </c>
      <c r="N113" s="77"/>
    </row>
    <row r="114" spans="1:14" x14ac:dyDescent="0.3">
      <c r="A114" s="313">
        <f t="shared" si="15"/>
        <v>108</v>
      </c>
      <c r="B114" s="212" t="s">
        <v>171</v>
      </c>
      <c r="C114" s="212" t="s">
        <v>13</v>
      </c>
      <c r="D114" s="213" t="s">
        <v>149</v>
      </c>
      <c r="E114" s="218" t="s">
        <v>208</v>
      </c>
      <c r="F114" s="103">
        <v>212.5</v>
      </c>
      <c r="G114" s="103">
        <f t="shared" si="19"/>
        <v>212.5</v>
      </c>
      <c r="H114" s="103">
        <v>350</v>
      </c>
      <c r="I114" s="103">
        <f t="shared" si="20"/>
        <v>74</v>
      </c>
      <c r="J114" s="19">
        <f t="shared" si="16"/>
        <v>-1.3916666666666322E-2</v>
      </c>
      <c r="K114" s="210">
        <f t="shared" si="18"/>
        <v>-1.0298333333333078</v>
      </c>
      <c r="L114" s="103"/>
      <c r="M114" s="67">
        <f t="shared" si="14"/>
        <v>0</v>
      </c>
      <c r="N114" s="77"/>
    </row>
    <row r="115" spans="1:14" x14ac:dyDescent="0.3">
      <c r="A115" s="313">
        <f t="shared" si="15"/>
        <v>109</v>
      </c>
      <c r="B115" s="212" t="s">
        <v>171</v>
      </c>
      <c r="C115" s="212" t="s">
        <v>13</v>
      </c>
      <c r="D115" s="213" t="s">
        <v>149</v>
      </c>
      <c r="E115" s="218" t="s">
        <v>209</v>
      </c>
      <c r="F115" s="103">
        <v>217.5</v>
      </c>
      <c r="G115" s="103">
        <f t="shared" si="19"/>
        <v>217.5</v>
      </c>
      <c r="H115" s="103">
        <v>350</v>
      </c>
      <c r="I115" s="103">
        <f t="shared" si="20"/>
        <v>76</v>
      </c>
      <c r="J115" s="19">
        <f t="shared" si="16"/>
        <v>-1.3916666666666322E-2</v>
      </c>
      <c r="K115" s="210">
        <f t="shared" si="18"/>
        <v>-1.0576666666666406</v>
      </c>
      <c r="L115" s="103"/>
      <c r="M115" s="67">
        <f t="shared" si="14"/>
        <v>0</v>
      </c>
      <c r="N115" s="77"/>
    </row>
    <row r="116" spans="1:14" x14ac:dyDescent="0.3">
      <c r="A116" s="313">
        <f t="shared" si="15"/>
        <v>110</v>
      </c>
      <c r="B116" s="212" t="s">
        <v>171</v>
      </c>
      <c r="C116" s="212" t="s">
        <v>13</v>
      </c>
      <c r="D116" s="213" t="s">
        <v>149</v>
      </c>
      <c r="E116" s="218" t="s">
        <v>210</v>
      </c>
      <c r="F116" s="103">
        <v>222.5</v>
      </c>
      <c r="G116" s="103">
        <f t="shared" si="19"/>
        <v>222.5</v>
      </c>
      <c r="H116" s="103">
        <v>350</v>
      </c>
      <c r="I116" s="103">
        <f t="shared" si="20"/>
        <v>78</v>
      </c>
      <c r="J116" s="19">
        <f t="shared" si="16"/>
        <v>-1.3916666666666322E-2</v>
      </c>
      <c r="K116" s="210">
        <f t="shared" si="18"/>
        <v>-1.085499999999973</v>
      </c>
      <c r="L116" s="103"/>
      <c r="M116" s="67">
        <f t="shared" si="14"/>
        <v>0</v>
      </c>
      <c r="N116" s="77"/>
    </row>
    <row r="117" spans="1:14" x14ac:dyDescent="0.3">
      <c r="A117" s="313">
        <f t="shared" si="15"/>
        <v>111</v>
      </c>
      <c r="B117" s="212" t="s">
        <v>171</v>
      </c>
      <c r="C117" s="212" t="s">
        <v>13</v>
      </c>
      <c r="D117" s="213" t="s">
        <v>149</v>
      </c>
      <c r="E117" s="218" t="s">
        <v>211</v>
      </c>
      <c r="F117" s="103">
        <v>227.5</v>
      </c>
      <c r="G117" s="103">
        <f t="shared" si="19"/>
        <v>227.5</v>
      </c>
      <c r="H117" s="103">
        <v>350</v>
      </c>
      <c r="I117" s="103">
        <f t="shared" si="20"/>
        <v>80</v>
      </c>
      <c r="J117" s="19">
        <f t="shared" si="16"/>
        <v>-1.3916666666666322E-2</v>
      </c>
      <c r="K117" s="210">
        <f t="shared" si="18"/>
        <v>-1.1133333333333058</v>
      </c>
      <c r="L117" s="103"/>
      <c r="M117" s="67">
        <f t="shared" si="14"/>
        <v>0</v>
      </c>
      <c r="N117" s="77"/>
    </row>
    <row r="118" spans="1:14" x14ac:dyDescent="0.3">
      <c r="A118" s="313">
        <f t="shared" si="15"/>
        <v>112</v>
      </c>
      <c r="B118" s="212" t="s">
        <v>171</v>
      </c>
      <c r="C118" s="212" t="s">
        <v>13</v>
      </c>
      <c r="D118" s="213" t="s">
        <v>149</v>
      </c>
      <c r="E118" s="218" t="s">
        <v>212</v>
      </c>
      <c r="F118" s="103">
        <v>232.5</v>
      </c>
      <c r="G118" s="103">
        <f t="shared" si="19"/>
        <v>232.5</v>
      </c>
      <c r="H118" s="103">
        <v>350</v>
      </c>
      <c r="I118" s="103">
        <f t="shared" si="20"/>
        <v>81</v>
      </c>
      <c r="J118" s="19">
        <f t="shared" si="16"/>
        <v>-1.3916666666666322E-2</v>
      </c>
      <c r="K118" s="210">
        <f t="shared" si="18"/>
        <v>-1.1272499999999721</v>
      </c>
      <c r="L118" s="103"/>
      <c r="M118" s="67">
        <f t="shared" si="14"/>
        <v>0</v>
      </c>
      <c r="N118" s="77"/>
    </row>
    <row r="119" spans="1:14" x14ac:dyDescent="0.3">
      <c r="A119" s="313">
        <f t="shared" si="15"/>
        <v>113</v>
      </c>
      <c r="B119" s="212" t="s">
        <v>171</v>
      </c>
      <c r="C119" s="212" t="s">
        <v>13</v>
      </c>
      <c r="D119" s="213" t="s">
        <v>149</v>
      </c>
      <c r="E119" s="218" t="s">
        <v>213</v>
      </c>
      <c r="F119" s="103">
        <v>237.5</v>
      </c>
      <c r="G119" s="103">
        <f t="shared" si="19"/>
        <v>237.5</v>
      </c>
      <c r="H119" s="103">
        <v>350</v>
      </c>
      <c r="I119" s="103">
        <f t="shared" si="20"/>
        <v>83</v>
      </c>
      <c r="J119" s="19">
        <f t="shared" si="16"/>
        <v>-1.3916666666666322E-2</v>
      </c>
      <c r="K119" s="210">
        <f t="shared" si="18"/>
        <v>-1.1550833333333048</v>
      </c>
      <c r="L119" s="103"/>
      <c r="M119" s="67">
        <f t="shared" si="14"/>
        <v>0</v>
      </c>
      <c r="N119" s="77"/>
    </row>
    <row r="120" spans="1:14" x14ac:dyDescent="0.3">
      <c r="A120" s="313">
        <f t="shared" si="15"/>
        <v>114</v>
      </c>
      <c r="B120" s="212" t="s">
        <v>171</v>
      </c>
      <c r="C120" s="212" t="s">
        <v>13</v>
      </c>
      <c r="D120" s="213" t="s">
        <v>149</v>
      </c>
      <c r="E120" s="218" t="s">
        <v>214</v>
      </c>
      <c r="F120" s="103">
        <v>242.5</v>
      </c>
      <c r="G120" s="103">
        <f t="shared" si="19"/>
        <v>242.5</v>
      </c>
      <c r="H120" s="103">
        <v>350</v>
      </c>
      <c r="I120" s="103">
        <f t="shared" si="20"/>
        <v>85</v>
      </c>
      <c r="J120" s="19">
        <f t="shared" si="16"/>
        <v>-1.3916666666666322E-2</v>
      </c>
      <c r="K120" s="210">
        <f t="shared" si="18"/>
        <v>-1.1829166666666373</v>
      </c>
      <c r="L120" s="103"/>
      <c r="M120" s="67">
        <f t="shared" si="14"/>
        <v>0</v>
      </c>
      <c r="N120" s="77"/>
    </row>
    <row r="121" spans="1:14" x14ac:dyDescent="0.3">
      <c r="A121" s="313">
        <f t="shared" si="15"/>
        <v>115</v>
      </c>
      <c r="B121" s="212" t="s">
        <v>171</v>
      </c>
      <c r="C121" s="212" t="s">
        <v>13</v>
      </c>
      <c r="D121" s="213" t="s">
        <v>149</v>
      </c>
      <c r="E121" s="218" t="s">
        <v>215</v>
      </c>
      <c r="F121" s="103">
        <v>247.5</v>
      </c>
      <c r="G121" s="103">
        <f t="shared" si="19"/>
        <v>247.5</v>
      </c>
      <c r="H121" s="103">
        <v>350</v>
      </c>
      <c r="I121" s="103">
        <f t="shared" si="20"/>
        <v>87</v>
      </c>
      <c r="J121" s="19">
        <f t="shared" si="16"/>
        <v>-1.3916666666666322E-2</v>
      </c>
      <c r="K121" s="210">
        <f t="shared" si="18"/>
        <v>-1.21074999999997</v>
      </c>
      <c r="L121" s="103"/>
      <c r="M121" s="67">
        <f t="shared" si="14"/>
        <v>0</v>
      </c>
      <c r="N121" s="77"/>
    </row>
    <row r="122" spans="1:14" x14ac:dyDescent="0.3">
      <c r="A122" s="313">
        <f t="shared" si="15"/>
        <v>116</v>
      </c>
      <c r="B122" s="212" t="s">
        <v>171</v>
      </c>
      <c r="C122" s="212" t="s">
        <v>13</v>
      </c>
      <c r="D122" s="213" t="s">
        <v>149</v>
      </c>
      <c r="E122" s="218" t="s">
        <v>216</v>
      </c>
      <c r="F122" s="103">
        <v>252.5</v>
      </c>
      <c r="G122" s="103">
        <f t="shared" si="19"/>
        <v>252.5</v>
      </c>
      <c r="H122" s="103">
        <v>350</v>
      </c>
      <c r="I122" s="103">
        <f t="shared" si="20"/>
        <v>88</v>
      </c>
      <c r="J122" s="19">
        <f t="shared" si="16"/>
        <v>-1.3916666666666322E-2</v>
      </c>
      <c r="K122" s="210">
        <f t="shared" si="18"/>
        <v>-1.2246666666666364</v>
      </c>
      <c r="L122" s="103"/>
      <c r="M122" s="67">
        <f t="shared" si="14"/>
        <v>0</v>
      </c>
      <c r="N122" s="77"/>
    </row>
    <row r="123" spans="1:14" x14ac:dyDescent="0.3">
      <c r="A123" s="313">
        <f t="shared" si="15"/>
        <v>117</v>
      </c>
      <c r="B123" s="212" t="s">
        <v>171</v>
      </c>
      <c r="C123" s="212" t="s">
        <v>13</v>
      </c>
      <c r="D123" s="213" t="s">
        <v>149</v>
      </c>
      <c r="E123" s="218" t="s">
        <v>217</v>
      </c>
      <c r="F123" s="103">
        <v>257.5</v>
      </c>
      <c r="G123" s="103">
        <f t="shared" si="19"/>
        <v>257.5</v>
      </c>
      <c r="H123" s="103">
        <v>350</v>
      </c>
      <c r="I123" s="103">
        <f t="shared" si="20"/>
        <v>90</v>
      </c>
      <c r="J123" s="19">
        <f t="shared" si="16"/>
        <v>-1.3916666666666322E-2</v>
      </c>
      <c r="K123" s="210">
        <f t="shared" si="18"/>
        <v>-1.2524999999999691</v>
      </c>
      <c r="L123" s="103"/>
      <c r="M123" s="67">
        <f t="shared" si="14"/>
        <v>0</v>
      </c>
      <c r="N123" s="77"/>
    </row>
    <row r="124" spans="1:14" x14ac:dyDescent="0.3">
      <c r="A124" s="313">
        <f t="shared" si="15"/>
        <v>118</v>
      </c>
      <c r="B124" s="212" t="s">
        <v>171</v>
      </c>
      <c r="C124" s="212" t="s">
        <v>13</v>
      </c>
      <c r="D124" s="213" t="s">
        <v>149</v>
      </c>
      <c r="E124" s="218" t="s">
        <v>218</v>
      </c>
      <c r="F124" s="103">
        <v>262.5</v>
      </c>
      <c r="G124" s="103">
        <f t="shared" si="19"/>
        <v>262.5</v>
      </c>
      <c r="H124" s="103">
        <v>350</v>
      </c>
      <c r="I124" s="103">
        <f t="shared" si="20"/>
        <v>92</v>
      </c>
      <c r="J124" s="19">
        <f t="shared" si="16"/>
        <v>-1.3916666666666322E-2</v>
      </c>
      <c r="K124" s="210">
        <f t="shared" si="18"/>
        <v>-1.2803333333333016</v>
      </c>
      <c r="L124" s="103"/>
      <c r="M124" s="67">
        <f t="shared" si="14"/>
        <v>0</v>
      </c>
      <c r="N124" s="77"/>
    </row>
    <row r="125" spans="1:14" x14ac:dyDescent="0.3">
      <c r="A125" s="313">
        <f t="shared" si="15"/>
        <v>119</v>
      </c>
      <c r="B125" s="212" t="s">
        <v>171</v>
      </c>
      <c r="C125" s="212" t="s">
        <v>13</v>
      </c>
      <c r="D125" s="213" t="s">
        <v>149</v>
      </c>
      <c r="E125" s="218" t="s">
        <v>219</v>
      </c>
      <c r="F125" s="103">
        <v>267.5</v>
      </c>
      <c r="G125" s="103">
        <f t="shared" si="19"/>
        <v>267.5</v>
      </c>
      <c r="H125" s="103">
        <v>350</v>
      </c>
      <c r="I125" s="103">
        <f t="shared" si="20"/>
        <v>94</v>
      </c>
      <c r="J125" s="19">
        <f t="shared" si="16"/>
        <v>-1.3916666666666322E-2</v>
      </c>
      <c r="K125" s="210">
        <f t="shared" si="18"/>
        <v>-1.3081666666666343</v>
      </c>
      <c r="L125" s="103"/>
      <c r="M125" s="67">
        <f t="shared" ref="M125:M131" si="21">+L125*K125*12</f>
        <v>0</v>
      </c>
      <c r="N125" s="77"/>
    </row>
    <row r="126" spans="1:14" x14ac:dyDescent="0.3">
      <c r="A126" s="313">
        <f t="shared" si="15"/>
        <v>120</v>
      </c>
      <c r="B126" s="212" t="s">
        <v>171</v>
      </c>
      <c r="C126" s="212" t="s">
        <v>13</v>
      </c>
      <c r="D126" s="213" t="s">
        <v>149</v>
      </c>
      <c r="E126" s="218" t="s">
        <v>220</v>
      </c>
      <c r="F126" s="103">
        <v>272.5</v>
      </c>
      <c r="G126" s="103">
        <f t="shared" si="19"/>
        <v>272.5</v>
      </c>
      <c r="H126" s="103">
        <v>350</v>
      </c>
      <c r="I126" s="103">
        <f t="shared" si="20"/>
        <v>95</v>
      </c>
      <c r="J126" s="19">
        <f t="shared" si="16"/>
        <v>-1.3916666666666322E-2</v>
      </c>
      <c r="K126" s="210">
        <f t="shared" si="18"/>
        <v>-1.3220833333333006</v>
      </c>
      <c r="L126" s="103"/>
      <c r="M126" s="67">
        <f t="shared" si="21"/>
        <v>0</v>
      </c>
      <c r="N126" s="77"/>
    </row>
    <row r="127" spans="1:14" x14ac:dyDescent="0.3">
      <c r="A127" s="313">
        <f t="shared" si="15"/>
        <v>121</v>
      </c>
      <c r="B127" s="212" t="s">
        <v>171</v>
      </c>
      <c r="C127" s="212" t="s">
        <v>13</v>
      </c>
      <c r="D127" s="213" t="s">
        <v>149</v>
      </c>
      <c r="E127" s="218" t="s">
        <v>221</v>
      </c>
      <c r="F127" s="103">
        <v>277.5</v>
      </c>
      <c r="G127" s="103">
        <f t="shared" si="19"/>
        <v>277.5</v>
      </c>
      <c r="H127" s="103">
        <v>350</v>
      </c>
      <c r="I127" s="103">
        <f t="shared" si="20"/>
        <v>97</v>
      </c>
      <c r="J127" s="19">
        <f t="shared" si="16"/>
        <v>-1.3916666666666322E-2</v>
      </c>
      <c r="K127" s="210">
        <f t="shared" si="18"/>
        <v>-1.3499166666666333</v>
      </c>
      <c r="L127" s="103">
        <v>1</v>
      </c>
      <c r="M127" s="67">
        <f t="shared" si="21"/>
        <v>-16.1989999999996</v>
      </c>
      <c r="N127" s="77"/>
    </row>
    <row r="128" spans="1:14" x14ac:dyDescent="0.3">
      <c r="A128" s="313">
        <f t="shared" si="15"/>
        <v>122</v>
      </c>
      <c r="B128" s="212" t="s">
        <v>171</v>
      </c>
      <c r="C128" s="212" t="s">
        <v>13</v>
      </c>
      <c r="D128" s="213" t="s">
        <v>149</v>
      </c>
      <c r="E128" s="218" t="s">
        <v>222</v>
      </c>
      <c r="F128" s="103">
        <v>282.5</v>
      </c>
      <c r="G128" s="103">
        <f t="shared" si="19"/>
        <v>282.5</v>
      </c>
      <c r="H128" s="103">
        <v>350</v>
      </c>
      <c r="I128" s="103">
        <f t="shared" si="20"/>
        <v>99</v>
      </c>
      <c r="J128" s="19">
        <f t="shared" si="16"/>
        <v>-1.3916666666666322E-2</v>
      </c>
      <c r="K128" s="210">
        <f t="shared" si="18"/>
        <v>-1.3777499999999658</v>
      </c>
      <c r="L128" s="103"/>
      <c r="M128" s="67">
        <f t="shared" si="21"/>
        <v>0</v>
      </c>
      <c r="N128" s="77"/>
    </row>
    <row r="129" spans="1:14" x14ac:dyDescent="0.3">
      <c r="A129" s="313">
        <f t="shared" si="15"/>
        <v>123</v>
      </c>
      <c r="B129" s="212" t="s">
        <v>171</v>
      </c>
      <c r="C129" s="212" t="s">
        <v>13</v>
      </c>
      <c r="D129" s="213" t="s">
        <v>149</v>
      </c>
      <c r="E129" s="218" t="s">
        <v>223</v>
      </c>
      <c r="F129" s="103">
        <v>287.5</v>
      </c>
      <c r="G129" s="103">
        <f t="shared" si="19"/>
        <v>287.5</v>
      </c>
      <c r="H129" s="103">
        <v>350</v>
      </c>
      <c r="I129" s="103">
        <f t="shared" si="20"/>
        <v>101</v>
      </c>
      <c r="J129" s="19">
        <f t="shared" si="16"/>
        <v>-1.3916666666666322E-2</v>
      </c>
      <c r="K129" s="210">
        <f t="shared" si="18"/>
        <v>-1.4055833333332985</v>
      </c>
      <c r="L129" s="103"/>
      <c r="M129" s="67">
        <f t="shared" si="21"/>
        <v>0</v>
      </c>
      <c r="N129" s="77"/>
    </row>
    <row r="130" spans="1:14" x14ac:dyDescent="0.3">
      <c r="A130" s="313">
        <f t="shared" si="15"/>
        <v>124</v>
      </c>
      <c r="B130" s="212" t="s">
        <v>171</v>
      </c>
      <c r="C130" s="212" t="s">
        <v>13</v>
      </c>
      <c r="D130" s="213" t="s">
        <v>149</v>
      </c>
      <c r="E130" s="218" t="s">
        <v>224</v>
      </c>
      <c r="F130" s="103">
        <v>292.5</v>
      </c>
      <c r="G130" s="103">
        <f t="shared" si="19"/>
        <v>292.5</v>
      </c>
      <c r="H130" s="103">
        <v>350</v>
      </c>
      <c r="I130" s="103">
        <f t="shared" si="20"/>
        <v>102</v>
      </c>
      <c r="J130" s="19">
        <f t="shared" si="16"/>
        <v>-1.3916666666666322E-2</v>
      </c>
      <c r="K130" s="210">
        <f t="shared" si="18"/>
        <v>-1.4194999999999649</v>
      </c>
      <c r="L130" s="103"/>
      <c r="M130" s="67">
        <f t="shared" si="21"/>
        <v>0</v>
      </c>
      <c r="N130" s="77"/>
    </row>
    <row r="131" spans="1:14" x14ac:dyDescent="0.3">
      <c r="A131" s="313">
        <f t="shared" si="15"/>
        <v>125</v>
      </c>
      <c r="B131" s="212" t="s">
        <v>171</v>
      </c>
      <c r="C131" s="212" t="s">
        <v>13</v>
      </c>
      <c r="D131" s="213" t="s">
        <v>149</v>
      </c>
      <c r="E131" s="218" t="s">
        <v>225</v>
      </c>
      <c r="F131" s="103">
        <v>297.5</v>
      </c>
      <c r="G131" s="103">
        <f t="shared" si="19"/>
        <v>297.5</v>
      </c>
      <c r="H131" s="103">
        <v>350</v>
      </c>
      <c r="I131" s="103">
        <f t="shared" si="20"/>
        <v>104</v>
      </c>
      <c r="J131" s="19">
        <f t="shared" si="16"/>
        <v>-1.3916666666666322E-2</v>
      </c>
      <c r="K131" s="210">
        <f t="shared" si="18"/>
        <v>-1.4473333333332976</v>
      </c>
      <c r="L131" s="103"/>
      <c r="M131" s="67">
        <f t="shared" si="21"/>
        <v>0</v>
      </c>
      <c r="N131" s="77"/>
    </row>
    <row r="132" spans="1:14" x14ac:dyDescent="0.3">
      <c r="A132" s="313">
        <f t="shared" si="15"/>
        <v>126</v>
      </c>
      <c r="B132" s="6"/>
      <c r="C132" s="6"/>
      <c r="D132" s="6"/>
      <c r="E132" s="6"/>
      <c r="F132" s="6"/>
      <c r="G132" s="6"/>
      <c r="H132" s="6"/>
      <c r="I132" s="6"/>
      <c r="J132" s="6"/>
      <c r="K132" s="219"/>
      <c r="L132" s="194"/>
      <c r="M132" s="6"/>
      <c r="N132" s="77"/>
    </row>
    <row r="133" spans="1:14" x14ac:dyDescent="0.3">
      <c r="A133" s="313">
        <f t="shared" si="15"/>
        <v>127</v>
      </c>
      <c r="B133" s="6"/>
      <c r="C133" s="6"/>
      <c r="D133" s="6"/>
      <c r="E133" s="6"/>
      <c r="F133" s="6"/>
      <c r="G133" s="6"/>
      <c r="H133" s="6"/>
      <c r="I133" s="6"/>
      <c r="J133" s="6"/>
      <c r="K133" s="219"/>
      <c r="L133" s="66">
        <f>SUM(L7:L131)</f>
        <v>112085</v>
      </c>
      <c r="M133" s="106">
        <f>SUM(M7:M132)</f>
        <v>-1139393.495122449</v>
      </c>
      <c r="N133" s="77"/>
    </row>
    <row r="134" spans="1:14" x14ac:dyDescent="0.3">
      <c r="A134" s="313">
        <f t="shared" si="15"/>
        <v>128</v>
      </c>
      <c r="B134" s="6"/>
      <c r="C134" s="6"/>
      <c r="D134" s="6"/>
      <c r="E134" s="6"/>
      <c r="F134" s="6"/>
      <c r="G134" s="6"/>
      <c r="H134" s="6"/>
      <c r="I134" s="6"/>
      <c r="J134" s="6"/>
      <c r="K134" s="219"/>
      <c r="L134" s="220"/>
      <c r="M134" s="6"/>
      <c r="N134" s="77"/>
    </row>
    <row r="135" spans="1:14" x14ac:dyDescent="0.3">
      <c r="A135" s="313">
        <f t="shared" si="15"/>
        <v>129</v>
      </c>
      <c r="B135" s="6"/>
      <c r="C135" s="6"/>
      <c r="D135" s="6"/>
      <c r="E135" s="6"/>
      <c r="F135" s="6"/>
      <c r="G135" s="6"/>
      <c r="H135" s="6"/>
      <c r="I135" s="6"/>
      <c r="J135" s="6"/>
      <c r="K135" s="219"/>
      <c r="L135" s="220"/>
      <c r="M135" s="227">
        <f>+'2014 Rates'!D31</f>
        <v>-1140620.5404121978</v>
      </c>
      <c r="N135" s="77"/>
    </row>
    <row r="136" spans="1:14" x14ac:dyDescent="0.3">
      <c r="A136" s="313">
        <f t="shared" si="15"/>
        <v>130</v>
      </c>
      <c r="B136" s="6"/>
      <c r="C136" s="6"/>
      <c r="D136" s="6"/>
      <c r="E136" s="6"/>
      <c r="F136" s="6"/>
      <c r="G136" s="6"/>
      <c r="H136" s="6"/>
      <c r="I136" s="6"/>
      <c r="J136" s="6"/>
      <c r="K136" s="219"/>
      <c r="L136" s="6"/>
      <c r="M136" s="221"/>
      <c r="N136" s="77"/>
    </row>
    <row r="137" spans="1:14" x14ac:dyDescent="0.3">
      <c r="A137" s="313">
        <f t="shared" ref="A137:A138" si="22">ROW(A131)</f>
        <v>131</v>
      </c>
      <c r="B137" s="6"/>
      <c r="C137" s="6"/>
      <c r="D137" s="6"/>
      <c r="E137" s="6"/>
      <c r="F137" s="6"/>
      <c r="G137" s="6"/>
      <c r="H137" s="6"/>
      <c r="I137" s="6"/>
      <c r="J137" s="6"/>
      <c r="K137" s="219"/>
      <c r="L137" s="222"/>
      <c r="M137" s="223">
        <f>+M135-M133</f>
        <v>-1227.045289748814</v>
      </c>
      <c r="N137" s="77"/>
    </row>
    <row r="138" spans="1:14" ht="13.5" thickBot="1" x14ac:dyDescent="0.35">
      <c r="A138" s="314">
        <f t="shared" si="22"/>
        <v>132</v>
      </c>
      <c r="B138" s="5"/>
      <c r="C138" s="5"/>
      <c r="D138" s="5"/>
      <c r="E138" s="5"/>
      <c r="F138" s="5"/>
      <c r="G138" s="5"/>
      <c r="H138" s="5"/>
      <c r="I138" s="5"/>
      <c r="J138" s="5"/>
      <c r="K138" s="224"/>
      <c r="L138" s="5"/>
      <c r="M138" s="225">
        <f>+M137/M135</f>
        <v>1.0757699394974808E-3</v>
      </c>
      <c r="N138" s="95"/>
    </row>
  </sheetData>
  <mergeCells count="2">
    <mergeCell ref="A1:M1"/>
    <mergeCell ref="A2:M2"/>
  </mergeCells>
  <printOptions horizontalCentered="1"/>
  <pageMargins left="0.7" right="0.7" top="0.75" bottom="0.75" header="0.3" footer="0.3"/>
  <pageSetup scale="65" fitToHeight="3" orientation="landscape" cellComments="asDisplayed" horizontalDpi="1200" verticalDpi="1200" r:id="rId1"/>
  <headerFooter alignWithMargins="0">
    <oddHeader>&amp;R2014 Sales of Asset Filing
Advice 2014-xx
Page &amp;P of &amp;N</oddHeader>
    <oddFooter>&amp;L&amp;F
&amp;A&amp;R&amp;D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58"/>
  <sheetViews>
    <sheetView topLeftCell="A19" zoomScale="90" zoomScaleNormal="90" workbookViewId="0">
      <selection sqref="A1:O21"/>
    </sheetView>
  </sheetViews>
  <sheetFormatPr defaultRowHeight="12.5" x14ac:dyDescent="0.25"/>
  <cols>
    <col min="1" max="1" width="45.7265625" bestFit="1" customWidth="1"/>
    <col min="2" max="2" width="9.1796875" bestFit="1" customWidth="1"/>
    <col min="3" max="4" width="15.7265625" customWidth="1"/>
    <col min="5" max="6" width="10.7265625" customWidth="1"/>
  </cols>
  <sheetData>
    <row r="1" spans="1:6" x14ac:dyDescent="0.25">
      <c r="A1" s="12" t="s">
        <v>3</v>
      </c>
      <c r="B1" s="12"/>
      <c r="C1" s="12"/>
      <c r="D1" s="12"/>
      <c r="E1" s="12"/>
      <c r="F1" s="12"/>
    </row>
    <row r="2" spans="1:6" x14ac:dyDescent="0.25">
      <c r="A2" s="12" t="s">
        <v>26</v>
      </c>
      <c r="B2" s="12"/>
      <c r="C2" s="12"/>
      <c r="D2" s="12"/>
      <c r="E2" s="12"/>
      <c r="F2" s="12"/>
    </row>
    <row r="3" spans="1:6" x14ac:dyDescent="0.25">
      <c r="A3" s="12"/>
      <c r="B3" s="12"/>
      <c r="C3" s="12"/>
      <c r="D3" s="12"/>
      <c r="E3" s="12"/>
      <c r="F3" s="12"/>
    </row>
    <row r="5" spans="1:6" x14ac:dyDescent="0.25">
      <c r="C5" s="20" t="s">
        <v>27</v>
      </c>
      <c r="D5" s="20"/>
    </row>
    <row r="6" spans="1:6" s="23" customFormat="1" ht="25" x14ac:dyDescent="0.25">
      <c r="A6" s="21" t="s">
        <v>28</v>
      </c>
      <c r="B6" s="21" t="s">
        <v>29</v>
      </c>
      <c r="C6" s="22" t="s">
        <v>30</v>
      </c>
      <c r="D6" s="22" t="s">
        <v>31</v>
      </c>
      <c r="E6" s="21" t="s">
        <v>32</v>
      </c>
      <c r="F6" s="21" t="s">
        <v>33</v>
      </c>
    </row>
    <row r="7" spans="1:6" x14ac:dyDescent="0.25">
      <c r="A7" t="s">
        <v>34</v>
      </c>
      <c r="B7" s="1">
        <v>1000</v>
      </c>
      <c r="C7" s="15">
        <f t="shared" ref="C7:D18" si="0">ROUND(C$30,2)+ROUND(IF($B7&gt;600,600*C$37/100+($B7-600)*C$44/100,$B7*C$37/100),2)+ROUND($B7*SUM(C$47)/100,2)+ROUND($B7*SUM(C$48)/100,2)+ROUND($B7*SUM(C$49)/100,2)+ROUND($B7*SUM(C$50)/100,2)+ROUND($B7*SUM(C$51)/100,2)+ROUND($B7*SUM(C$52)/100,2)+ROUND($B7*SUM(C$53)/100,2)</f>
        <v>92.95</v>
      </c>
      <c r="D7" s="15">
        <f t="shared" si="0"/>
        <v>63.83</v>
      </c>
      <c r="E7" s="2">
        <f t="shared" ref="E7:E18" si="1">+D7-C7</f>
        <v>-29.120000000000005</v>
      </c>
      <c r="F7" s="24">
        <f t="shared" ref="F7:F18" si="2">+E7/C7</f>
        <v>-0.31328671328671331</v>
      </c>
    </row>
    <row r="8" spans="1:6" x14ac:dyDescent="0.25">
      <c r="A8" t="s">
        <v>35</v>
      </c>
      <c r="B8" s="1">
        <f>+B7</f>
        <v>1000</v>
      </c>
      <c r="C8" s="15">
        <f t="shared" si="0"/>
        <v>92.95</v>
      </c>
      <c r="D8" s="15">
        <f t="shared" si="0"/>
        <v>63.83</v>
      </c>
      <c r="E8" s="2">
        <f t="shared" si="1"/>
        <v>-29.120000000000005</v>
      </c>
      <c r="F8" s="24">
        <f t="shared" si="2"/>
        <v>-0.31328671328671331</v>
      </c>
    </row>
    <row r="9" spans="1:6" x14ac:dyDescent="0.25">
      <c r="A9" t="s">
        <v>36</v>
      </c>
      <c r="B9" s="1">
        <f t="shared" ref="B9:B18" si="3">+B8</f>
        <v>1000</v>
      </c>
      <c r="C9" s="15">
        <f t="shared" si="0"/>
        <v>92.95</v>
      </c>
      <c r="D9" s="15">
        <f t="shared" si="0"/>
        <v>63.83</v>
      </c>
      <c r="E9" s="2">
        <f t="shared" si="1"/>
        <v>-29.120000000000005</v>
      </c>
      <c r="F9" s="24">
        <f t="shared" si="2"/>
        <v>-0.31328671328671331</v>
      </c>
    </row>
    <row r="10" spans="1:6" x14ac:dyDescent="0.25">
      <c r="A10" t="s">
        <v>37</v>
      </c>
      <c r="B10" s="1">
        <f t="shared" si="3"/>
        <v>1000</v>
      </c>
      <c r="C10" s="15">
        <f t="shared" si="0"/>
        <v>92.95</v>
      </c>
      <c r="D10" s="15">
        <f t="shared" si="0"/>
        <v>63.83</v>
      </c>
      <c r="E10" s="2">
        <f t="shared" si="1"/>
        <v>-29.120000000000005</v>
      </c>
      <c r="F10" s="24">
        <f t="shared" si="2"/>
        <v>-0.31328671328671331</v>
      </c>
    </row>
    <row r="11" spans="1:6" x14ac:dyDescent="0.25">
      <c r="A11" t="s">
        <v>38</v>
      </c>
      <c r="B11" s="1">
        <f t="shared" si="3"/>
        <v>1000</v>
      </c>
      <c r="C11" s="15">
        <f t="shared" si="0"/>
        <v>92.95</v>
      </c>
      <c r="D11" s="15">
        <f t="shared" si="0"/>
        <v>63.83</v>
      </c>
      <c r="E11" s="2">
        <f t="shared" si="1"/>
        <v>-29.120000000000005</v>
      </c>
      <c r="F11" s="24">
        <f t="shared" si="2"/>
        <v>-0.31328671328671331</v>
      </c>
    </row>
    <row r="12" spans="1:6" x14ac:dyDescent="0.25">
      <c r="A12" t="s">
        <v>39</v>
      </c>
      <c r="B12" s="1">
        <f t="shared" si="3"/>
        <v>1000</v>
      </c>
      <c r="C12" s="15">
        <f t="shared" si="0"/>
        <v>92.95</v>
      </c>
      <c r="D12" s="15">
        <f t="shared" si="0"/>
        <v>63.83</v>
      </c>
      <c r="E12" s="2">
        <f t="shared" si="1"/>
        <v>-29.120000000000005</v>
      </c>
      <c r="F12" s="24">
        <f t="shared" si="2"/>
        <v>-0.31328671328671331</v>
      </c>
    </row>
    <row r="13" spans="1:6" x14ac:dyDescent="0.25">
      <c r="A13" t="s">
        <v>40</v>
      </c>
      <c r="B13" s="1">
        <f t="shared" si="3"/>
        <v>1000</v>
      </c>
      <c r="C13" s="15">
        <f t="shared" si="0"/>
        <v>92.95</v>
      </c>
      <c r="D13" s="15">
        <f t="shared" si="0"/>
        <v>63.83</v>
      </c>
      <c r="E13" s="2">
        <f t="shared" si="1"/>
        <v>-29.120000000000005</v>
      </c>
      <c r="F13" s="24">
        <f t="shared" si="2"/>
        <v>-0.31328671328671331</v>
      </c>
    </row>
    <row r="14" spans="1:6" x14ac:dyDescent="0.25">
      <c r="A14" t="s">
        <v>41</v>
      </c>
      <c r="B14" s="1">
        <f t="shared" si="3"/>
        <v>1000</v>
      </c>
      <c r="C14" s="15">
        <f t="shared" si="0"/>
        <v>92.95</v>
      </c>
      <c r="D14" s="15">
        <f t="shared" si="0"/>
        <v>63.83</v>
      </c>
      <c r="E14" s="2">
        <f t="shared" si="1"/>
        <v>-29.120000000000005</v>
      </c>
      <c r="F14" s="24">
        <f t="shared" si="2"/>
        <v>-0.31328671328671331</v>
      </c>
    </row>
    <row r="15" spans="1:6" x14ac:dyDescent="0.25">
      <c r="A15" t="s">
        <v>42</v>
      </c>
      <c r="B15" s="1">
        <f t="shared" si="3"/>
        <v>1000</v>
      </c>
      <c r="C15" s="15">
        <f t="shared" si="0"/>
        <v>92.95</v>
      </c>
      <c r="D15" s="15">
        <f t="shared" si="0"/>
        <v>63.83</v>
      </c>
      <c r="E15" s="2">
        <f t="shared" si="1"/>
        <v>-29.120000000000005</v>
      </c>
      <c r="F15" s="24">
        <f t="shared" si="2"/>
        <v>-0.31328671328671331</v>
      </c>
    </row>
    <row r="16" spans="1:6" x14ac:dyDescent="0.25">
      <c r="A16" t="s">
        <v>43</v>
      </c>
      <c r="B16" s="1">
        <f t="shared" si="3"/>
        <v>1000</v>
      </c>
      <c r="C16" s="15">
        <f t="shared" si="0"/>
        <v>92.95</v>
      </c>
      <c r="D16" s="15">
        <f t="shared" si="0"/>
        <v>63.83</v>
      </c>
      <c r="E16" s="2">
        <f t="shared" si="1"/>
        <v>-29.120000000000005</v>
      </c>
      <c r="F16" s="24">
        <f t="shared" si="2"/>
        <v>-0.31328671328671331</v>
      </c>
    </row>
    <row r="17" spans="1:6" x14ac:dyDescent="0.25">
      <c r="A17" t="s">
        <v>44</v>
      </c>
      <c r="B17" s="1">
        <f t="shared" si="3"/>
        <v>1000</v>
      </c>
      <c r="C17" s="15">
        <f t="shared" si="0"/>
        <v>92.95</v>
      </c>
      <c r="D17" s="15">
        <f t="shared" si="0"/>
        <v>63.83</v>
      </c>
      <c r="E17" s="2">
        <f t="shared" si="1"/>
        <v>-29.120000000000005</v>
      </c>
      <c r="F17" s="24">
        <f t="shared" si="2"/>
        <v>-0.31328671328671331</v>
      </c>
    </row>
    <row r="18" spans="1:6" x14ac:dyDescent="0.25">
      <c r="A18" t="s">
        <v>45</v>
      </c>
      <c r="B18" s="1">
        <f t="shared" si="3"/>
        <v>1000</v>
      </c>
      <c r="C18" s="15">
        <f t="shared" si="0"/>
        <v>92.95</v>
      </c>
      <c r="D18" s="15">
        <f t="shared" si="0"/>
        <v>63.83</v>
      </c>
      <c r="E18" s="2">
        <f t="shared" si="1"/>
        <v>-29.120000000000005</v>
      </c>
      <c r="F18" s="24">
        <f t="shared" si="2"/>
        <v>-0.31328671328671331</v>
      </c>
    </row>
    <row r="19" spans="1:6" x14ac:dyDescent="0.25">
      <c r="C19" s="2"/>
      <c r="D19" s="2"/>
      <c r="E19" s="2"/>
      <c r="F19" s="24"/>
    </row>
    <row r="20" spans="1:6" ht="13" thickBot="1" x14ac:dyDescent="0.3">
      <c r="A20" s="11" t="s">
        <v>46</v>
      </c>
      <c r="B20" s="25">
        <f>SUM(B7:B19)</f>
        <v>12000</v>
      </c>
      <c r="C20" s="26">
        <f>SUM(C7:C19)</f>
        <v>1115.4000000000003</v>
      </c>
      <c r="D20" s="26">
        <f>SUM(D7:D19)</f>
        <v>765.96</v>
      </c>
      <c r="E20" s="26">
        <f>SUM(E7:E19)</f>
        <v>-349.44000000000005</v>
      </c>
      <c r="F20" s="27">
        <f>+E20/C20</f>
        <v>-0.31328671328671326</v>
      </c>
    </row>
    <row r="21" spans="1:6" ht="13" thickTop="1" x14ac:dyDescent="0.25">
      <c r="A21" s="11"/>
      <c r="F21" s="24"/>
    </row>
    <row r="22" spans="1:6" ht="13" thickBot="1" x14ac:dyDescent="0.3">
      <c r="A22" s="28" t="s">
        <v>47</v>
      </c>
      <c r="B22" s="25">
        <f>+B20/12</f>
        <v>1000</v>
      </c>
      <c r="C22" s="26">
        <f>+C20/12</f>
        <v>92.950000000000031</v>
      </c>
      <c r="D22" s="26">
        <f>+D20/12</f>
        <v>63.830000000000005</v>
      </c>
      <c r="E22" s="26">
        <f>+E20/12</f>
        <v>-29.120000000000005</v>
      </c>
      <c r="F22" s="27">
        <f>+E22/C22</f>
        <v>-0.3132867132867132</v>
      </c>
    </row>
    <row r="23" spans="1:6" ht="13" thickTop="1" x14ac:dyDescent="0.25"/>
    <row r="24" spans="1:6" x14ac:dyDescent="0.25">
      <c r="A24" s="8" t="s">
        <v>48</v>
      </c>
      <c r="B24" s="8"/>
      <c r="C24" s="14">
        <f>+C20/B20*100</f>
        <v>9.2950000000000035</v>
      </c>
      <c r="D24" s="14">
        <f>+D20/B20*100</f>
        <v>6.383</v>
      </c>
    </row>
    <row r="27" spans="1:6" ht="25" x14ac:dyDescent="0.25">
      <c r="A27" s="29" t="s">
        <v>49</v>
      </c>
      <c r="B27" s="30"/>
      <c r="C27" s="13" t="s">
        <v>234</v>
      </c>
      <c r="D27" s="13" t="s">
        <v>235</v>
      </c>
      <c r="E27" s="295"/>
      <c r="F27" s="295"/>
    </row>
    <row r="28" spans="1:6" x14ac:dyDescent="0.25">
      <c r="A28" s="11" t="s">
        <v>50</v>
      </c>
      <c r="C28" s="231">
        <v>7.49</v>
      </c>
      <c r="D28" s="231">
        <f>+C28</f>
        <v>7.49</v>
      </c>
      <c r="E28" s="295" t="s">
        <v>51</v>
      </c>
      <c r="F28" s="295"/>
    </row>
    <row r="29" spans="1:6" x14ac:dyDescent="0.25">
      <c r="A29" s="230" t="s">
        <v>227</v>
      </c>
      <c r="B29" s="236"/>
      <c r="C29" s="233">
        <v>0.37999999999999989</v>
      </c>
      <c r="D29" s="233">
        <f>+C29</f>
        <v>0.37999999999999989</v>
      </c>
      <c r="E29" s="295" t="s">
        <v>51</v>
      </c>
      <c r="F29" s="295"/>
    </row>
    <row r="30" spans="1:6" ht="13" thickBot="1" x14ac:dyDescent="0.3">
      <c r="A30" s="11" t="s">
        <v>320</v>
      </c>
      <c r="C30" s="297">
        <f>SUM(C28:C29)</f>
        <v>7.87</v>
      </c>
      <c r="D30" s="297">
        <f>SUM(D28:D29)</f>
        <v>7.87</v>
      </c>
      <c r="E30" s="295"/>
      <c r="F30" s="295"/>
    </row>
    <row r="31" spans="1:6" ht="13" thickTop="1" x14ac:dyDescent="0.25">
      <c r="A31" t="s">
        <v>52</v>
      </c>
      <c r="C31" s="32"/>
      <c r="D31" s="32"/>
      <c r="E31" s="295"/>
      <c r="F31" s="295"/>
    </row>
    <row r="32" spans="1:6" x14ac:dyDescent="0.25">
      <c r="A32" s="10" t="s">
        <v>53</v>
      </c>
      <c r="C32" s="232">
        <v>8.5578000000000003</v>
      </c>
      <c r="D32" s="33">
        <f>+C32</f>
        <v>8.5578000000000003</v>
      </c>
      <c r="E32" s="295" t="s">
        <v>54</v>
      </c>
      <c r="F32" s="295"/>
    </row>
    <row r="33" spans="1:6" x14ac:dyDescent="0.25">
      <c r="A33" s="301" t="s">
        <v>59</v>
      </c>
      <c r="B33" s="236"/>
      <c r="C33" s="232">
        <v>8.5599999999999996E-2</v>
      </c>
      <c r="D33" s="107">
        <f>+C33</f>
        <v>8.5599999999999996E-2</v>
      </c>
      <c r="E33" s="296" t="s">
        <v>54</v>
      </c>
      <c r="F33" s="295"/>
    </row>
    <row r="34" spans="1:6" x14ac:dyDescent="0.25">
      <c r="A34" s="300" t="s">
        <v>226</v>
      </c>
      <c r="B34" s="236"/>
      <c r="C34" s="232">
        <v>0.28699999999999998</v>
      </c>
      <c r="D34" s="107">
        <f>+C34</f>
        <v>0.28699999999999998</v>
      </c>
      <c r="E34" s="296" t="s">
        <v>54</v>
      </c>
      <c r="F34" s="295"/>
    </row>
    <row r="35" spans="1:6" x14ac:dyDescent="0.25">
      <c r="A35" s="301" t="s">
        <v>228</v>
      </c>
      <c r="B35" s="236"/>
      <c r="C35" s="232">
        <v>0.11140000000000039</v>
      </c>
      <c r="D35" s="107">
        <f>+C35</f>
        <v>0.11140000000000039</v>
      </c>
      <c r="E35" s="296" t="s">
        <v>54</v>
      </c>
      <c r="F35" s="295"/>
    </row>
    <row r="36" spans="1:6" x14ac:dyDescent="0.25">
      <c r="A36" s="301" t="s">
        <v>230</v>
      </c>
      <c r="B36" s="236"/>
      <c r="C36" s="232">
        <v>0.16850000000000001</v>
      </c>
      <c r="D36" s="107">
        <f>+C36</f>
        <v>0.16850000000000001</v>
      </c>
      <c r="E36" s="296" t="s">
        <v>54</v>
      </c>
      <c r="F36" s="295"/>
    </row>
    <row r="37" spans="1:6" ht="13" thickBot="1" x14ac:dyDescent="0.3">
      <c r="A37" s="302" t="s">
        <v>321</v>
      </c>
      <c r="C37" s="298">
        <f>SUM(C32:C36)</f>
        <v>9.2103000000000002</v>
      </c>
      <c r="D37" s="298">
        <f>SUM(D32:D36)</f>
        <v>9.2103000000000002</v>
      </c>
      <c r="E37" s="296" t="s">
        <v>54</v>
      </c>
      <c r="F37" s="295"/>
    </row>
    <row r="38" spans="1:6" ht="13" thickTop="1" x14ac:dyDescent="0.25">
      <c r="A38" s="10"/>
      <c r="C38" s="232"/>
      <c r="D38" s="232"/>
      <c r="E38" s="295"/>
      <c r="F38" s="295"/>
    </row>
    <row r="39" spans="1:6" x14ac:dyDescent="0.25">
      <c r="A39" s="10" t="s">
        <v>55</v>
      </c>
      <c r="C39" s="232">
        <v>10.415699999999999</v>
      </c>
      <c r="D39" s="33">
        <f>+C39</f>
        <v>10.415699999999999</v>
      </c>
      <c r="E39" s="295" t="s">
        <v>54</v>
      </c>
      <c r="F39" s="295"/>
    </row>
    <row r="40" spans="1:6" x14ac:dyDescent="0.25">
      <c r="A40" s="300" t="s">
        <v>59</v>
      </c>
      <c r="B40" s="236"/>
      <c r="C40" s="232">
        <f>+C33</f>
        <v>8.5599999999999996E-2</v>
      </c>
      <c r="D40" s="232">
        <f>+D33</f>
        <v>8.5599999999999996E-2</v>
      </c>
      <c r="E40" s="295" t="s">
        <v>54</v>
      </c>
      <c r="F40" s="295"/>
    </row>
    <row r="41" spans="1:6" x14ac:dyDescent="0.25">
      <c r="A41" s="300" t="s">
        <v>226</v>
      </c>
      <c r="B41" s="236"/>
      <c r="C41" s="232">
        <f>+C34</f>
        <v>0.28699999999999998</v>
      </c>
      <c r="D41" s="232">
        <f>+D34</f>
        <v>0.28699999999999998</v>
      </c>
      <c r="E41" s="295" t="s">
        <v>54</v>
      </c>
      <c r="F41" s="295"/>
    </row>
    <row r="42" spans="1:6" x14ac:dyDescent="0.25">
      <c r="A42" s="301" t="s">
        <v>229</v>
      </c>
      <c r="B42" s="236"/>
      <c r="C42" s="232">
        <v>0.13569999999999971</v>
      </c>
      <c r="D42" s="107">
        <f t="shared" ref="D42" si="4">+C42</f>
        <v>0.13569999999999971</v>
      </c>
      <c r="E42" s="296" t="s">
        <v>54</v>
      </c>
      <c r="F42" s="295"/>
    </row>
    <row r="43" spans="1:6" x14ac:dyDescent="0.25">
      <c r="A43" s="301" t="s">
        <v>230</v>
      </c>
      <c r="B43" s="236"/>
      <c r="C43" s="232">
        <f>+C36</f>
        <v>0.16850000000000001</v>
      </c>
      <c r="D43" s="232">
        <f>+D36</f>
        <v>0.16850000000000001</v>
      </c>
      <c r="E43" s="296" t="s">
        <v>54</v>
      </c>
      <c r="F43" s="295"/>
    </row>
    <row r="44" spans="1:6" ht="13" thickBot="1" x14ac:dyDescent="0.3">
      <c r="A44" s="302" t="s">
        <v>322</v>
      </c>
      <c r="C44" s="298">
        <f>SUM(C39:C43)</f>
        <v>11.092499999999999</v>
      </c>
      <c r="D44" s="298">
        <f>SUM(D39:D43)</f>
        <v>11.092499999999999</v>
      </c>
      <c r="E44" s="296" t="s">
        <v>54</v>
      </c>
      <c r="F44" s="295"/>
    </row>
    <row r="45" spans="1:6" ht="13" thickTop="1" x14ac:dyDescent="0.25">
      <c r="A45" s="299"/>
      <c r="C45" s="232"/>
      <c r="D45" s="232"/>
      <c r="E45" s="296"/>
      <c r="F45" s="295"/>
    </row>
    <row r="46" spans="1:6" x14ac:dyDescent="0.25">
      <c r="A46" s="9" t="s">
        <v>323</v>
      </c>
      <c r="C46" s="176"/>
      <c r="D46" s="310"/>
      <c r="F46" s="295"/>
    </row>
    <row r="47" spans="1:6" x14ac:dyDescent="0.25">
      <c r="A47" s="299" t="s">
        <v>56</v>
      </c>
      <c r="C47" s="232">
        <v>-5.28E-2</v>
      </c>
      <c r="D47" s="33">
        <f t="shared" ref="D47:D53" si="5">+C47</f>
        <v>-5.28E-2</v>
      </c>
      <c r="E47" s="295" t="s">
        <v>54</v>
      </c>
      <c r="F47" s="295"/>
    </row>
    <row r="48" spans="1:6" x14ac:dyDescent="0.25">
      <c r="A48" s="299" t="s">
        <v>57</v>
      </c>
      <c r="C48" s="232">
        <v>-0.29470000000000002</v>
      </c>
      <c r="D48" s="33">
        <f t="shared" si="5"/>
        <v>-0.29470000000000002</v>
      </c>
      <c r="E48" s="295" t="s">
        <v>54</v>
      </c>
      <c r="F48" s="295"/>
    </row>
    <row r="49" spans="1:8" x14ac:dyDescent="0.25">
      <c r="A49" s="299" t="s">
        <v>58</v>
      </c>
      <c r="C49" s="232">
        <v>0.52969999999999995</v>
      </c>
      <c r="D49" s="33">
        <f t="shared" si="5"/>
        <v>0.52969999999999995</v>
      </c>
      <c r="E49" s="295" t="s">
        <v>54</v>
      </c>
      <c r="F49" s="295"/>
    </row>
    <row r="50" spans="1:8" x14ac:dyDescent="0.25">
      <c r="A50" s="299" t="s">
        <v>95</v>
      </c>
      <c r="C50" s="232">
        <v>-3.4500000000000003E-2</v>
      </c>
      <c r="D50" s="107">
        <f t="shared" si="5"/>
        <v>-3.4500000000000003E-2</v>
      </c>
      <c r="E50" s="295" t="s">
        <v>54</v>
      </c>
      <c r="F50" s="295"/>
    </row>
    <row r="51" spans="1:8" x14ac:dyDescent="0.25">
      <c r="A51" s="307" t="s">
        <v>385</v>
      </c>
      <c r="B51" s="308"/>
      <c r="C51" s="305">
        <f>ROUND(+'2014 Proposed Annual Impacts'!E$9,4)</f>
        <v>0</v>
      </c>
      <c r="D51" s="306">
        <f>ROUND(+'2014 Proposed Annual Impacts'!F$9,4)</f>
        <v>-2.9117000000000002</v>
      </c>
      <c r="E51" s="309" t="s">
        <v>54</v>
      </c>
      <c r="F51" s="295"/>
    </row>
    <row r="52" spans="1:8" x14ac:dyDescent="0.25">
      <c r="A52" s="303" t="s">
        <v>151</v>
      </c>
      <c r="B52" s="236"/>
      <c r="C52" s="232">
        <v>-8.5000000000000006E-2</v>
      </c>
      <c r="D52" s="107">
        <f t="shared" si="5"/>
        <v>-8.5000000000000006E-2</v>
      </c>
      <c r="E52" s="296" t="s">
        <v>54</v>
      </c>
      <c r="F52" s="295"/>
    </row>
    <row r="53" spans="1:8" x14ac:dyDescent="0.25">
      <c r="A53" s="304" t="s">
        <v>60</v>
      </c>
      <c r="C53" s="234">
        <v>-1.5169999999999999</v>
      </c>
      <c r="D53" s="34">
        <f t="shared" si="5"/>
        <v>-1.5169999999999999</v>
      </c>
      <c r="E53" s="296" t="s">
        <v>54</v>
      </c>
      <c r="F53" s="295"/>
    </row>
    <row r="54" spans="1:8" x14ac:dyDescent="0.25">
      <c r="F54" s="295"/>
    </row>
    <row r="55" spans="1:8" x14ac:dyDescent="0.25">
      <c r="E55" s="295"/>
      <c r="F55" s="295"/>
    </row>
    <row r="58" spans="1:8" x14ac:dyDescent="0.25">
      <c r="A58" s="229"/>
      <c r="B58" s="228"/>
      <c r="C58" s="228"/>
      <c r="D58" s="228"/>
      <c r="E58" s="228"/>
      <c r="F58" s="228"/>
      <c r="G58" s="228"/>
      <c r="H58" s="228"/>
    </row>
  </sheetData>
  <phoneticPr fontId="0" type="noConversion"/>
  <printOptions horizontalCentered="1"/>
  <pageMargins left="0.7" right="0.7" top="0.75" bottom="0.75" header="0.3" footer="0.3"/>
  <pageSetup scale="72" orientation="landscape" horizontalDpi="1200" verticalDpi="1200" r:id="rId1"/>
  <headerFooter alignWithMargins="0">
    <oddHeader>&amp;R2014 Sales of Asset Filing
Advice 2014-xx
Page &amp;P of &amp;N</oddHeader>
    <oddFooter>&amp;L&amp;F
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169"/>
  <sheetViews>
    <sheetView zoomScale="90" zoomScaleNormal="90" workbookViewId="0">
      <pane xSplit="1" ySplit="5" topLeftCell="B135" activePane="bottomRight" state="frozen"/>
      <selection sqref="A1:O21"/>
      <selection pane="topRight" sqref="A1:O21"/>
      <selection pane="bottomLeft" sqref="A1:O21"/>
      <selection pane="bottomRight" activeCell="G175" sqref="G175"/>
    </sheetView>
  </sheetViews>
  <sheetFormatPr defaultColWidth="9.1796875" defaultRowHeight="12.5" x14ac:dyDescent="0.25"/>
  <cols>
    <col min="1" max="1" width="29.1796875" bestFit="1" customWidth="1"/>
    <col min="2" max="2" width="15.453125" customWidth="1"/>
    <col min="3" max="3" width="15.1796875" customWidth="1"/>
    <col min="4" max="4" width="16.1796875" bestFit="1" customWidth="1"/>
    <col min="5" max="5" width="15.453125" customWidth="1"/>
    <col min="6" max="6" width="15" customWidth="1"/>
    <col min="7" max="7" width="15.26953125" customWidth="1"/>
    <col min="8" max="8" width="16.1796875" bestFit="1" customWidth="1"/>
    <col min="9" max="9" width="15" customWidth="1"/>
    <col min="10" max="10" width="15.7265625" customWidth="1"/>
    <col min="11" max="11" width="15" customWidth="1"/>
    <col min="12" max="12" width="16.1796875" bestFit="1" customWidth="1"/>
    <col min="13" max="13" width="15.453125" customWidth="1"/>
    <col min="14" max="14" width="16.54296875" bestFit="1" customWidth="1"/>
    <col min="15" max="15" width="16.1796875" bestFit="1" customWidth="1"/>
    <col min="16" max="16" width="14" bestFit="1" customWidth="1"/>
  </cols>
  <sheetData>
    <row r="1" spans="1:14" ht="13.5" thickBot="1" x14ac:dyDescent="0.35">
      <c r="A1" s="360" t="s">
        <v>319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2"/>
    </row>
    <row r="4" spans="1:14" x14ac:dyDescent="0.25">
      <c r="A4" s="100"/>
      <c r="B4" s="96" t="s">
        <v>124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8"/>
    </row>
    <row r="5" spans="1:14" x14ac:dyDescent="0.25">
      <c r="A5" s="96" t="s">
        <v>88</v>
      </c>
      <c r="B5" s="156" t="s">
        <v>245</v>
      </c>
      <c r="C5" s="156" t="s">
        <v>246</v>
      </c>
      <c r="D5" s="156" t="s">
        <v>247</v>
      </c>
      <c r="E5" s="156" t="s">
        <v>236</v>
      </c>
      <c r="F5" s="156" t="s">
        <v>237</v>
      </c>
      <c r="G5" s="156" t="s">
        <v>238</v>
      </c>
      <c r="H5" s="156" t="s">
        <v>239</v>
      </c>
      <c r="I5" s="156" t="s">
        <v>240</v>
      </c>
      <c r="J5" s="156" t="s">
        <v>241</v>
      </c>
      <c r="K5" s="156" t="s">
        <v>242</v>
      </c>
      <c r="L5" s="156" t="s">
        <v>243</v>
      </c>
      <c r="M5" s="156" t="s">
        <v>244</v>
      </c>
      <c r="N5" s="157" t="s">
        <v>2</v>
      </c>
    </row>
    <row r="6" spans="1:14" x14ac:dyDescent="0.25">
      <c r="A6" s="158">
        <v>7</v>
      </c>
      <c r="B6" s="293">
        <f>ROUND(+C32/1000,0)*1000</f>
        <v>830719000</v>
      </c>
      <c r="C6" s="293">
        <f>ROUND(+D32/1000,0)*1000-1000</f>
        <v>1015568000</v>
      </c>
      <c r="D6" s="293">
        <f>ROUND(+E32/1000,0)*1000+1000</f>
        <v>1279932000</v>
      </c>
      <c r="E6" s="293">
        <f>ROUND(+F32/1000,0)*1000-1000</f>
        <v>1240530000</v>
      </c>
      <c r="F6" s="293">
        <f t="shared" ref="F6:M6" si="0">ROUND(+G32/1000,0)*1000</f>
        <v>1030611000</v>
      </c>
      <c r="G6" s="293">
        <f t="shared" si="0"/>
        <v>1033343000</v>
      </c>
      <c r="H6" s="293">
        <f t="shared" si="0"/>
        <v>870345000</v>
      </c>
      <c r="I6" s="293">
        <f>ROUND(+J32/1000,0)*1000+1000</f>
        <v>744776000</v>
      </c>
      <c r="J6" s="293">
        <f>ROUND(+K32/1000,0)*1000+1000</f>
        <v>670346000</v>
      </c>
      <c r="K6" s="293">
        <f t="shared" si="0"/>
        <v>679718000</v>
      </c>
      <c r="L6" s="293">
        <f>ROUND(+M32/1000,0)*1000+1000</f>
        <v>680562000</v>
      </c>
      <c r="M6" s="293">
        <f t="shared" si="0"/>
        <v>682151000</v>
      </c>
      <c r="N6" s="144">
        <f t="shared" ref="N6:N20" si="1">SUM(B6:M6)</f>
        <v>10758601000</v>
      </c>
    </row>
    <row r="7" spans="1:14" x14ac:dyDescent="0.25">
      <c r="A7" s="159">
        <v>24</v>
      </c>
      <c r="B7" s="292">
        <f t="shared" ref="B7" si="2">ROUND(SUM(C33,C45,C53)/1000,0)*1000</f>
        <v>204372000</v>
      </c>
      <c r="C7" s="292">
        <f t="shared" ref="C7:C9" si="3">ROUND(SUM(D33,D45,D53)/1000,0)*1000</f>
        <v>221934000</v>
      </c>
      <c r="D7" s="292">
        <f t="shared" ref="D7:D9" si="4">ROUND(SUM(E33,E45,E53)/1000,0)*1000</f>
        <v>249848000</v>
      </c>
      <c r="E7" s="292">
        <f t="shared" ref="E7:E9" si="5">ROUND(SUM(F33,F45,F53)/1000,0)*1000</f>
        <v>261740000</v>
      </c>
      <c r="F7" s="292">
        <f t="shared" ref="F7:F9" si="6">ROUND(SUM(G33,G45,G53)/1000,0)*1000</f>
        <v>230992000</v>
      </c>
      <c r="G7" s="292">
        <f t="shared" ref="G7:G9" si="7">ROUND(SUM(H33,H45,H53)/1000,0)*1000</f>
        <v>241243000</v>
      </c>
      <c r="H7" s="292">
        <f t="shared" ref="H7:H9" si="8">ROUND(SUM(I33,I45,I53)/1000,0)*1000</f>
        <v>217670000</v>
      </c>
      <c r="I7" s="292">
        <f t="shared" ref="I7:I9" si="9">ROUND(SUM(J33,J45,J53)/1000,0)*1000</f>
        <v>209122000</v>
      </c>
      <c r="J7" s="292">
        <f t="shared" ref="J7:J9" si="10">ROUND(SUM(K33,K45,K53)/1000,0)*1000</f>
        <v>205743000</v>
      </c>
      <c r="K7" s="292">
        <f t="shared" ref="K7:K9" si="11">ROUND(SUM(L33,L45,L53)/1000,0)*1000</f>
        <v>212258000</v>
      </c>
      <c r="L7" s="292">
        <f t="shared" ref="L7:L9" si="12">ROUND(SUM(M33,M45,M53)/1000,0)*1000</f>
        <v>217800000</v>
      </c>
      <c r="M7" s="292">
        <f t="shared" ref="M7:M9" si="13">ROUND(SUM(N33,N45,N53)/1000,0)*1000</f>
        <v>205250000</v>
      </c>
      <c r="N7" s="145">
        <f t="shared" si="1"/>
        <v>2677972000</v>
      </c>
    </row>
    <row r="8" spans="1:14" x14ac:dyDescent="0.25">
      <c r="A8" s="159">
        <v>25</v>
      </c>
      <c r="B8" s="292">
        <f>ROUND(SUM(C34,C46,C54)/1000,0)*1000</f>
        <v>241153000</v>
      </c>
      <c r="C8" s="292">
        <f t="shared" si="3"/>
        <v>250569000</v>
      </c>
      <c r="D8" s="292">
        <f t="shared" si="4"/>
        <v>264129000</v>
      </c>
      <c r="E8" s="292">
        <f t="shared" si="5"/>
        <v>278320000</v>
      </c>
      <c r="F8" s="292">
        <f t="shared" si="6"/>
        <v>242417000</v>
      </c>
      <c r="G8" s="292">
        <f t="shared" si="7"/>
        <v>262294000</v>
      </c>
      <c r="H8" s="292">
        <f t="shared" si="8"/>
        <v>242567000</v>
      </c>
      <c r="I8" s="292">
        <f t="shared" si="9"/>
        <v>247178000</v>
      </c>
      <c r="J8" s="292">
        <f t="shared" si="10"/>
        <v>248319000</v>
      </c>
      <c r="K8" s="292">
        <f t="shared" si="11"/>
        <v>235274000</v>
      </c>
      <c r="L8" s="292">
        <f t="shared" si="12"/>
        <v>252458000</v>
      </c>
      <c r="M8" s="292">
        <f t="shared" si="13"/>
        <v>242527000</v>
      </c>
      <c r="N8" s="145">
        <f t="shared" si="1"/>
        <v>3007205000</v>
      </c>
    </row>
    <row r="9" spans="1:14" x14ac:dyDescent="0.25">
      <c r="A9" s="159">
        <v>26</v>
      </c>
      <c r="B9" s="292">
        <f t="shared" ref="B9" si="14">ROUND(SUM(C35,C47,C55)/1000,0)*1000</f>
        <v>166627000</v>
      </c>
      <c r="C9" s="292">
        <f t="shared" si="3"/>
        <v>169718000</v>
      </c>
      <c r="D9" s="292">
        <f t="shared" si="4"/>
        <v>166987000</v>
      </c>
      <c r="E9" s="292">
        <f t="shared" si="5"/>
        <v>144113000</v>
      </c>
      <c r="F9" s="292">
        <f t="shared" si="6"/>
        <v>150582000</v>
      </c>
      <c r="G9" s="292">
        <f t="shared" si="7"/>
        <v>164849000</v>
      </c>
      <c r="H9" s="292">
        <f t="shared" si="8"/>
        <v>163202000</v>
      </c>
      <c r="I9" s="292">
        <f t="shared" si="9"/>
        <v>150851000</v>
      </c>
      <c r="J9" s="292">
        <f t="shared" si="10"/>
        <v>159326000</v>
      </c>
      <c r="K9" s="292">
        <f t="shared" si="11"/>
        <v>173038000</v>
      </c>
      <c r="L9" s="292">
        <f t="shared" si="12"/>
        <v>173892000</v>
      </c>
      <c r="M9" s="292">
        <f t="shared" si="13"/>
        <v>167565000</v>
      </c>
      <c r="N9" s="145">
        <f t="shared" si="1"/>
        <v>1950750000</v>
      </c>
    </row>
    <row r="10" spans="1:14" x14ac:dyDescent="0.25">
      <c r="A10" s="159">
        <v>29</v>
      </c>
      <c r="B10" s="292">
        <f t="shared" ref="B10" si="15">ROUND(+C36/1000,0)*1000</f>
        <v>1545000</v>
      </c>
      <c r="C10" s="292">
        <f t="shared" ref="C10" si="16">ROUND(+D36/1000,0)*1000</f>
        <v>553000</v>
      </c>
      <c r="D10" s="292">
        <f t="shared" ref="D10" si="17">ROUND(+E36/1000,0)*1000</f>
        <v>409000</v>
      </c>
      <c r="E10" s="292">
        <f t="shared" ref="E10" si="18">ROUND(+F36/1000,0)*1000</f>
        <v>385000</v>
      </c>
      <c r="F10" s="292">
        <f t="shared" ref="F10" si="19">ROUND(+G36/1000,0)*1000</f>
        <v>353000</v>
      </c>
      <c r="G10" s="292">
        <f t="shared" ref="G10" si="20">ROUND(+H36/1000,0)*1000</f>
        <v>368000</v>
      </c>
      <c r="H10" s="292">
        <f t="shared" ref="H10" si="21">ROUND(+I36/1000,0)*1000</f>
        <v>389000</v>
      </c>
      <c r="I10" s="292">
        <f t="shared" ref="I10" si="22">ROUND(+J36/1000,0)*1000</f>
        <v>811000</v>
      </c>
      <c r="J10" s="292">
        <f t="shared" ref="J10" si="23">ROUND(+K36/1000,0)*1000</f>
        <v>1297000</v>
      </c>
      <c r="K10" s="292">
        <f t="shared" ref="K10" si="24">ROUND(+L36/1000,0)*1000</f>
        <v>1766000</v>
      </c>
      <c r="L10" s="292">
        <f t="shared" ref="L10" si="25">ROUND(+M36/1000,0)*1000</f>
        <v>3912000</v>
      </c>
      <c r="M10" s="292">
        <f t="shared" ref="M10" si="26">ROUND(+N36/1000,0)*1000</f>
        <v>3272000</v>
      </c>
      <c r="N10" s="145">
        <f t="shared" si="1"/>
        <v>15060000</v>
      </c>
    </row>
    <row r="11" spans="1:14" x14ac:dyDescent="0.25">
      <c r="A11" s="159">
        <v>31</v>
      </c>
      <c r="B11" s="292">
        <f t="shared" ref="B11" si="27">ROUND(SUM(C37,C48)/1000,0)*1000</f>
        <v>119929000</v>
      </c>
      <c r="C11" s="292">
        <f t="shared" ref="C11" si="28">ROUND(SUM(D37,D48)/1000,0)*1000</f>
        <v>115666000</v>
      </c>
      <c r="D11" s="292">
        <f t="shared" ref="D11" si="29">ROUND(SUM(E37,E48)/1000,0)*1000</f>
        <v>143882000</v>
      </c>
      <c r="E11" s="292">
        <f t="shared" ref="E11" si="30">ROUND(SUM(F37,F48)/1000,0)*1000</f>
        <v>118934000</v>
      </c>
      <c r="F11" s="292">
        <f t="shared" ref="F11" si="31">ROUND(SUM(G37,G48)/1000,0)*1000</f>
        <v>108051000</v>
      </c>
      <c r="G11" s="292">
        <f t="shared" ref="G11" si="32">ROUND(SUM(H37,H48)/1000,0)*1000</f>
        <v>116364000</v>
      </c>
      <c r="H11" s="292">
        <f t="shared" ref="H11" si="33">ROUND(SUM(I37,I48)/1000,0)*1000</f>
        <v>97032000</v>
      </c>
      <c r="I11" s="292">
        <f t="shared" ref="I11" si="34">ROUND(SUM(J37,J48)/1000,0)*1000</f>
        <v>101617000</v>
      </c>
      <c r="J11" s="292">
        <f t="shared" ref="J11" si="35">ROUND(SUM(K37,K48)/1000,0)*1000</f>
        <v>105071000</v>
      </c>
      <c r="K11" s="292">
        <f t="shared" ref="K11" si="36">ROUND(SUM(L37,L48)/1000,0)*1000</f>
        <v>111307000</v>
      </c>
      <c r="L11" s="292">
        <f t="shared" ref="L11" si="37">ROUND(SUM(M37,M48)/1000,0)*1000</f>
        <v>111833000</v>
      </c>
      <c r="M11" s="292">
        <f t="shared" ref="M11" si="38">ROUND(SUM(N37,N48)/1000,0)*1000</f>
        <v>106717000</v>
      </c>
      <c r="N11" s="145">
        <f t="shared" si="1"/>
        <v>1356403000</v>
      </c>
    </row>
    <row r="12" spans="1:14" x14ac:dyDescent="0.25">
      <c r="A12" s="159">
        <v>35</v>
      </c>
      <c r="B12" s="292">
        <f t="shared" ref="B12" si="39">ROUND(+C38/1000,0)*1000</f>
        <v>663000</v>
      </c>
      <c r="C12" s="292">
        <f t="shared" ref="C12" si="40">ROUND(+D38/1000,0)*1000</f>
        <v>286000</v>
      </c>
      <c r="D12" s="292">
        <f t="shared" ref="D12" si="41">ROUND(+E38/1000,0)*1000</f>
        <v>5000</v>
      </c>
      <c r="E12" s="292">
        <f t="shared" ref="E12" si="42">ROUND(+F38/1000,0)*1000</f>
        <v>3000</v>
      </c>
      <c r="F12" s="292">
        <f t="shared" ref="F12" si="43">ROUND(+G38/1000,0)*1000</f>
        <v>3000</v>
      </c>
      <c r="G12" s="292">
        <f t="shared" ref="G12" si="44">ROUND(+H38/1000,0)*1000</f>
        <v>3000</v>
      </c>
      <c r="H12" s="292">
        <f t="shared" ref="H12" si="45">ROUND(+I38/1000,0)*1000</f>
        <v>3000</v>
      </c>
      <c r="I12" s="292">
        <f t="shared" ref="I12" si="46">ROUND(+J38/1000,0)*1000</f>
        <v>316000</v>
      </c>
      <c r="J12" s="292">
        <f t="shared" ref="J12" si="47">ROUND(+K38/1000,0)*1000</f>
        <v>775000</v>
      </c>
      <c r="K12" s="292">
        <f t="shared" ref="K12" si="48">ROUND(+L38/1000,0)*1000</f>
        <v>650000</v>
      </c>
      <c r="L12" s="292">
        <f t="shared" ref="L12" si="49">ROUND(+M38/1000,0)*1000</f>
        <v>995000</v>
      </c>
      <c r="M12" s="292">
        <f t="shared" ref="M12" si="50">ROUND(+N38/1000,0)*1000</f>
        <v>905000</v>
      </c>
      <c r="N12" s="145">
        <f t="shared" si="1"/>
        <v>4607000</v>
      </c>
    </row>
    <row r="13" spans="1:14" x14ac:dyDescent="0.25">
      <c r="A13" s="159">
        <v>40</v>
      </c>
      <c r="B13" s="292">
        <f t="shared" ref="B13" si="51">ROUND(SUM(C39,C49)/1000,0)*1000</f>
        <v>62123000</v>
      </c>
      <c r="C13" s="292">
        <f t="shared" ref="C13" si="52">ROUND(SUM(D39,D49)/1000,0)*1000</f>
        <v>55086000</v>
      </c>
      <c r="D13" s="292">
        <f t="shared" ref="D13" si="53">ROUND(SUM(E39,E49)/1000,0)*1000</f>
        <v>57321000</v>
      </c>
      <c r="E13" s="292">
        <f t="shared" ref="E13" si="54">ROUND(SUM(F39,F49)/1000,0)*1000</f>
        <v>64227000</v>
      </c>
      <c r="F13" s="292">
        <f t="shared" ref="F13" si="55">ROUND(SUM(G39,G49)/1000,0)*1000</f>
        <v>53261000</v>
      </c>
      <c r="G13" s="292">
        <f t="shared" ref="G13" si="56">ROUND(SUM(H39,H49)/1000,0)*1000</f>
        <v>56667000</v>
      </c>
      <c r="H13" s="292">
        <f t="shared" ref="H13" si="57">ROUND(SUM(I39,I49)/1000,0)*1000</f>
        <v>51088000</v>
      </c>
      <c r="I13" s="292">
        <f t="shared" ref="I13" si="58">ROUND(SUM(J39,J49)/1000,0)*1000</f>
        <v>63943000</v>
      </c>
      <c r="J13" s="292">
        <f t="shared" ref="J13" si="59">ROUND(SUM(K39,K49)/1000,0)*1000</f>
        <v>51344000</v>
      </c>
      <c r="K13" s="292">
        <f t="shared" ref="K13" si="60">ROUND(SUM(L39,L49)/1000,0)*1000</f>
        <v>69400000</v>
      </c>
      <c r="L13" s="292">
        <f t="shared" ref="L13" si="61">ROUND(SUM(M39,M49)/1000,0)*1000</f>
        <v>70134000</v>
      </c>
      <c r="M13" s="292">
        <f t="shared" ref="M13" si="62">ROUND(SUM(N39,N49)/1000,0)*1000</f>
        <v>56334000</v>
      </c>
      <c r="N13" s="145">
        <f t="shared" si="1"/>
        <v>710928000</v>
      </c>
    </row>
    <row r="14" spans="1:14" x14ac:dyDescent="0.25">
      <c r="A14" s="159">
        <v>43</v>
      </c>
      <c r="B14" s="292">
        <f t="shared" ref="B14" si="63">ROUND(+C40/1000,0)*1000</f>
        <v>9967000</v>
      </c>
      <c r="C14" s="292">
        <f t="shared" ref="C14" si="64">ROUND(+D40/1000,0)*1000</f>
        <v>13107000</v>
      </c>
      <c r="D14" s="292">
        <f t="shared" ref="D14" si="65">ROUND(+E40/1000,0)*1000</f>
        <v>17007000</v>
      </c>
      <c r="E14" s="292">
        <f t="shared" ref="E14" si="66">ROUND(+F40/1000,0)*1000</f>
        <v>17686000</v>
      </c>
      <c r="F14" s="292">
        <f t="shared" ref="F14" si="67">ROUND(+G40/1000,0)*1000</f>
        <v>16204000</v>
      </c>
      <c r="G14" s="292">
        <f t="shared" ref="G14" si="68">ROUND(+H40/1000,0)*1000</f>
        <v>16999000</v>
      </c>
      <c r="H14" s="292">
        <f t="shared" ref="H14" si="69">ROUND(+I40/1000,0)*1000</f>
        <v>12850000</v>
      </c>
      <c r="I14" s="292">
        <f t="shared" ref="I14" si="70">ROUND(+J40/1000,0)*1000</f>
        <v>12475000</v>
      </c>
      <c r="J14" s="292">
        <f t="shared" ref="J14" si="71">ROUND(+K40/1000,0)*1000</f>
        <v>9877000</v>
      </c>
      <c r="K14" s="292">
        <f t="shared" ref="K14" si="72">ROUND(+L40/1000,0)*1000</f>
        <v>7103000</v>
      </c>
      <c r="L14" s="292">
        <f t="shared" ref="L14" si="73">ROUND(+M40/1000,0)*1000</f>
        <v>5484000</v>
      </c>
      <c r="M14" s="292">
        <f t="shared" ref="M14" si="74">ROUND(+N40/1000,0)*1000</f>
        <v>6968000</v>
      </c>
      <c r="N14" s="145">
        <f t="shared" si="1"/>
        <v>145727000</v>
      </c>
    </row>
    <row r="15" spans="1:14" x14ac:dyDescent="0.25">
      <c r="A15" s="159">
        <v>46</v>
      </c>
      <c r="B15" s="292">
        <f>ROUND(SUM(C41,C50)/1000,0)*1000</f>
        <v>4766000</v>
      </c>
      <c r="C15" s="292">
        <f t="shared" ref="C15:M16" si="75">ROUND(SUM(D41,D50)/1000,0)*1000</f>
        <v>4698000</v>
      </c>
      <c r="D15" s="292">
        <f t="shared" si="75"/>
        <v>3994000</v>
      </c>
      <c r="E15" s="292">
        <f t="shared" si="75"/>
        <v>4175000</v>
      </c>
      <c r="F15" s="292">
        <f t="shared" si="75"/>
        <v>3921000</v>
      </c>
      <c r="G15" s="292">
        <f t="shared" si="75"/>
        <v>4016000</v>
      </c>
      <c r="H15" s="292">
        <f t="shared" si="75"/>
        <v>4020000</v>
      </c>
      <c r="I15" s="292">
        <f t="shared" si="75"/>
        <v>3828000</v>
      </c>
      <c r="J15" s="292">
        <f t="shared" si="75"/>
        <v>3874000</v>
      </c>
      <c r="K15" s="292">
        <f t="shared" si="75"/>
        <v>4359000</v>
      </c>
      <c r="L15" s="292">
        <f t="shared" si="75"/>
        <v>5276000</v>
      </c>
      <c r="M15" s="292">
        <f t="shared" si="75"/>
        <v>4508000</v>
      </c>
      <c r="N15" s="145">
        <f t="shared" si="1"/>
        <v>51435000</v>
      </c>
    </row>
    <row r="16" spans="1:14" x14ac:dyDescent="0.25">
      <c r="A16" s="159">
        <v>49</v>
      </c>
      <c r="B16" s="292">
        <f t="shared" ref="B16" si="76">ROUND(SUM(C42,C51)/1000,0)*1000</f>
        <v>45945000</v>
      </c>
      <c r="C16" s="292">
        <f t="shared" si="75"/>
        <v>48731000</v>
      </c>
      <c r="D16" s="292">
        <f t="shared" si="75"/>
        <v>49010000</v>
      </c>
      <c r="E16" s="292">
        <f t="shared" si="75"/>
        <v>48903000</v>
      </c>
      <c r="F16" s="292">
        <f t="shared" si="75"/>
        <v>45861000</v>
      </c>
      <c r="G16" s="292">
        <f t="shared" si="75"/>
        <v>45651000</v>
      </c>
      <c r="H16" s="292">
        <f t="shared" si="75"/>
        <v>47968000</v>
      </c>
      <c r="I16" s="292">
        <f t="shared" si="75"/>
        <v>46898000</v>
      </c>
      <c r="J16" s="292">
        <f t="shared" si="75"/>
        <v>43722000</v>
      </c>
      <c r="K16" s="292">
        <f t="shared" si="75"/>
        <v>55448000</v>
      </c>
      <c r="L16" s="292">
        <f t="shared" si="75"/>
        <v>48013000</v>
      </c>
      <c r="M16" s="292">
        <f t="shared" si="75"/>
        <v>48638000</v>
      </c>
      <c r="N16" s="145">
        <f t="shared" si="1"/>
        <v>574788000</v>
      </c>
    </row>
    <row r="17" spans="1:15" x14ac:dyDescent="0.25">
      <c r="A17" s="159" t="s">
        <v>77</v>
      </c>
      <c r="B17" s="292">
        <f t="shared" ref="B17" si="77">ROUND(SUM(C43,C56)/1000,0)*1000</f>
        <v>6710000</v>
      </c>
      <c r="C17" s="292">
        <f t="shared" ref="C17" si="78">ROUND(SUM(D43,D56)/1000,0)*1000</f>
        <v>7014000</v>
      </c>
      <c r="D17" s="292">
        <f t="shared" ref="D17" si="79">ROUND(SUM(E43,E56)/1000,0)*1000</f>
        <v>6924000</v>
      </c>
      <c r="E17" s="292">
        <f t="shared" ref="E17" si="80">ROUND(SUM(F43,F56)/1000,0)*1000</f>
        <v>6711000</v>
      </c>
      <c r="F17" s="292">
        <f t="shared" ref="F17" si="81">ROUND(SUM(G43,G56)/1000,0)*1000</f>
        <v>6258000</v>
      </c>
      <c r="G17" s="292">
        <f t="shared" ref="G17" si="82">ROUND(SUM(H43,H56)/1000,0)*1000</f>
        <v>7072000</v>
      </c>
      <c r="H17" s="292">
        <f t="shared" ref="H17" si="83">ROUND(SUM(I43,I56)/1000,0)*1000</f>
        <v>6155000</v>
      </c>
      <c r="I17" s="292">
        <f t="shared" ref="I17" si="84">ROUND(SUM(J43,J56)/1000,0)*1000</f>
        <v>6695000</v>
      </c>
      <c r="J17" s="292">
        <f t="shared" ref="J17" si="85">ROUND(SUM(K43,K56)/1000,0)*1000</f>
        <v>6139000</v>
      </c>
      <c r="K17" s="292">
        <f t="shared" ref="K17" si="86">ROUND(SUM(L43,L56)/1000,0)*1000</f>
        <v>6685000</v>
      </c>
      <c r="L17" s="292">
        <f t="shared" ref="L17" si="87">ROUND(SUM(M43,M56)/1000,0)*1000</f>
        <v>6800000</v>
      </c>
      <c r="M17" s="292">
        <f t="shared" ref="M17" si="88">ROUND(SUM(N43,N56)/1000,0)*1000</f>
        <v>6613000</v>
      </c>
      <c r="N17" s="145">
        <f t="shared" si="1"/>
        <v>79776000</v>
      </c>
    </row>
    <row r="18" spans="1:15" x14ac:dyDescent="0.25">
      <c r="A18" s="159" t="s">
        <v>79</v>
      </c>
      <c r="B18" s="292">
        <f t="shared" ref="B18" si="89">ROUND(+C58/1000,0)*1000</f>
        <v>498000</v>
      </c>
      <c r="C18" s="292">
        <f t="shared" ref="C18" si="90">ROUND(+D58/1000,0)*1000</f>
        <v>726000</v>
      </c>
      <c r="D18" s="292">
        <f t="shared" ref="D18" si="91">ROUND(+E58/1000,0)*1000</f>
        <v>1046000</v>
      </c>
      <c r="E18" s="292">
        <f t="shared" ref="E18" si="92">ROUND(+F58/1000,0)*1000</f>
        <v>890000</v>
      </c>
      <c r="F18" s="292">
        <f t="shared" ref="F18" si="93">ROUND(+G58/1000,0)*1000</f>
        <v>823000</v>
      </c>
      <c r="G18" s="292">
        <f t="shared" ref="G18" si="94">ROUND(+H58/1000,0)*1000</f>
        <v>825000</v>
      </c>
      <c r="H18" s="292">
        <f t="shared" ref="H18" si="95">ROUND(+I58/1000,0)*1000</f>
        <v>610000</v>
      </c>
      <c r="I18" s="292">
        <f t="shared" ref="I18" si="96">ROUND(+J58/1000,0)*1000</f>
        <v>478000</v>
      </c>
      <c r="J18" s="292">
        <f t="shared" ref="J18" si="97">ROUND(+K58/1000,0)*1000</f>
        <v>373000</v>
      </c>
      <c r="K18" s="292">
        <f t="shared" ref="K18" si="98">ROUND(+L58/1000,0)*1000</f>
        <v>336000</v>
      </c>
      <c r="L18" s="292">
        <f t="shared" ref="L18" si="99">ROUND(+M58/1000,0)*1000</f>
        <v>301000</v>
      </c>
      <c r="M18" s="292">
        <f t="shared" ref="M18" si="100">ROUND(+N58/1000,0)*1000</f>
        <v>341000</v>
      </c>
      <c r="N18" s="145">
        <f t="shared" si="1"/>
        <v>7247000</v>
      </c>
      <c r="O18" s="136"/>
    </row>
    <row r="19" spans="1:15" x14ac:dyDescent="0.25">
      <c r="A19" s="159">
        <v>449</v>
      </c>
      <c r="B19" s="136">
        <f>ROUND(+C60/1000,0)*1000</f>
        <v>174764000</v>
      </c>
      <c r="C19" s="136">
        <f t="shared" ref="C19:M19" si="101">ROUND(+D60/1000,0)*1000</f>
        <v>174817000</v>
      </c>
      <c r="D19" s="136">
        <f t="shared" si="101"/>
        <v>174888000</v>
      </c>
      <c r="E19" s="136">
        <f t="shared" si="101"/>
        <v>174957000</v>
      </c>
      <c r="F19" s="136">
        <f t="shared" si="101"/>
        <v>175019000</v>
      </c>
      <c r="G19" s="136">
        <f t="shared" si="101"/>
        <v>175523000</v>
      </c>
      <c r="H19" s="136">
        <f t="shared" si="101"/>
        <v>175575000</v>
      </c>
      <c r="I19" s="136">
        <f t="shared" si="101"/>
        <v>175625000</v>
      </c>
      <c r="J19" s="136">
        <f t="shared" si="101"/>
        <v>175675000</v>
      </c>
      <c r="K19" s="136">
        <f t="shared" si="101"/>
        <v>175724000</v>
      </c>
      <c r="L19" s="136">
        <f t="shared" si="101"/>
        <v>175752000</v>
      </c>
      <c r="M19" s="136">
        <f t="shared" si="101"/>
        <v>175772000</v>
      </c>
      <c r="N19" s="145">
        <f t="shared" si="1"/>
        <v>2104091000</v>
      </c>
    </row>
    <row r="20" spans="1:15" x14ac:dyDescent="0.25">
      <c r="A20" s="137" t="s">
        <v>87</v>
      </c>
      <c r="B20" s="138">
        <f t="shared" ref="B20:M20" si="102">SUM(B6:B19)</f>
        <v>1869781000</v>
      </c>
      <c r="C20" s="138">
        <f t="shared" si="102"/>
        <v>2078473000</v>
      </c>
      <c r="D20" s="138">
        <f t="shared" si="102"/>
        <v>2415382000</v>
      </c>
      <c r="E20" s="138">
        <f t="shared" si="102"/>
        <v>2361574000</v>
      </c>
      <c r="F20" s="138">
        <f t="shared" si="102"/>
        <v>2064356000</v>
      </c>
      <c r="G20" s="138">
        <f t="shared" si="102"/>
        <v>2125217000</v>
      </c>
      <c r="H20" s="138">
        <f t="shared" si="102"/>
        <v>1889474000</v>
      </c>
      <c r="I20" s="138">
        <f t="shared" si="102"/>
        <v>1764613000</v>
      </c>
      <c r="J20" s="138">
        <f t="shared" si="102"/>
        <v>1681881000</v>
      </c>
      <c r="K20" s="138">
        <f t="shared" si="102"/>
        <v>1733066000</v>
      </c>
      <c r="L20" s="138">
        <f t="shared" si="102"/>
        <v>1753212000</v>
      </c>
      <c r="M20" s="138">
        <f t="shared" si="102"/>
        <v>1707561000</v>
      </c>
      <c r="N20" s="146">
        <f t="shared" si="1"/>
        <v>23444590000</v>
      </c>
    </row>
    <row r="21" spans="1:15" x14ac:dyDescent="0.25">
      <c r="A21" s="4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</row>
    <row r="22" spans="1:15" x14ac:dyDescent="0.25">
      <c r="A22" s="290" t="s">
        <v>248</v>
      </c>
      <c r="B22" s="154">
        <f>ROUND(+'F2013 Load Callib'!$J$8,0)*1000</f>
        <v>1695017000</v>
      </c>
      <c r="C22" s="154">
        <f>ROUND(+'F2013 Load Callib'!$J$9,0)*1000</f>
        <v>1903656000</v>
      </c>
      <c r="D22" s="154">
        <f>ROUND(+'F2013 Load Callib'!$J$10,0)*1000</f>
        <v>2240494000</v>
      </c>
      <c r="E22" s="154">
        <f>ROUND(+'F2013 Load Callib'!$J$11,0)*1000</f>
        <v>2186617000</v>
      </c>
      <c r="F22" s="154">
        <f>ROUND(+'F2013 Load Callib'!$J$12,0)*1000</f>
        <v>1889337000</v>
      </c>
      <c r="G22" s="154">
        <f>ROUND(+'F2013 Load Callib'!$J$13,0)*1000</f>
        <v>1949694000</v>
      </c>
      <c r="H22" s="154">
        <f>ROUND(+'F2013 Load Callib'!$J$14,0)*1000</f>
        <v>1713899000</v>
      </c>
      <c r="I22" s="154">
        <f>ROUND(+'F2013 Load Callib'!$J$15,0)*1000</f>
        <v>1588988000</v>
      </c>
      <c r="J22" s="154">
        <f>ROUND(+'F2013 Load Callib'!$J$16,0)*1000</f>
        <v>1506206000</v>
      </c>
      <c r="K22" s="154">
        <f>ROUND(+'F2013 Load Callib'!$J$17,0)*1000</f>
        <v>1557342000</v>
      </c>
      <c r="L22" s="154">
        <f>ROUND(+'F2013 Load Callib'!$J$18,0)*1000</f>
        <v>1577460000</v>
      </c>
      <c r="M22" s="154">
        <f>ROUND(+'F2013 Load Callib'!$J$19,0)*1000</f>
        <v>1531789000</v>
      </c>
      <c r="N22" s="139">
        <f>SUM(B22:M22)</f>
        <v>21340499000</v>
      </c>
    </row>
    <row r="23" spans="1:15" x14ac:dyDescent="0.25">
      <c r="A23" s="7" t="s">
        <v>81</v>
      </c>
      <c r="B23" s="139">
        <f>+B20-B19-B22</f>
        <v>0</v>
      </c>
      <c r="C23" s="139">
        <f t="shared" ref="C23:M23" si="103">+C20-C19-C22</f>
        <v>0</v>
      </c>
      <c r="D23" s="139">
        <f t="shared" si="103"/>
        <v>0</v>
      </c>
      <c r="E23" s="139">
        <f t="shared" si="103"/>
        <v>0</v>
      </c>
      <c r="F23" s="139">
        <f t="shared" si="103"/>
        <v>0</v>
      </c>
      <c r="G23" s="139">
        <f t="shared" si="103"/>
        <v>0</v>
      </c>
      <c r="H23" s="139">
        <f t="shared" si="103"/>
        <v>0</v>
      </c>
      <c r="I23" s="139">
        <f t="shared" si="103"/>
        <v>0</v>
      </c>
      <c r="J23" s="139">
        <f t="shared" si="103"/>
        <v>0</v>
      </c>
      <c r="K23" s="139">
        <f t="shared" si="103"/>
        <v>0</v>
      </c>
      <c r="L23" s="139">
        <f t="shared" si="103"/>
        <v>0</v>
      </c>
      <c r="M23" s="139">
        <f t="shared" si="103"/>
        <v>0</v>
      </c>
      <c r="N23" s="139">
        <f>SUM(B23:M23)</f>
        <v>0</v>
      </c>
    </row>
    <row r="24" spans="1:15" x14ac:dyDescent="0.25">
      <c r="A24" s="4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</row>
    <row r="25" spans="1:15" x14ac:dyDescent="0.25">
      <c r="A25" s="6" t="s">
        <v>125</v>
      </c>
      <c r="B25" s="136">
        <f>ROUND('F2013 Sch Sales Callib'!$AV$8,0)*1000</f>
        <v>351000</v>
      </c>
      <c r="C25" s="136">
        <f>ROUND('F2013 Sch Sales Callib'!$AV$9,0)*1000</f>
        <v>370000</v>
      </c>
      <c r="D25" s="136">
        <f>ROUND('F2013 Sch Sales Callib'!$AV$10,0)*1000</f>
        <v>365000</v>
      </c>
      <c r="E25" s="136">
        <f>ROUND('F2013 Sch Sales Callib'!$AV$11,0)*1000</f>
        <v>364000</v>
      </c>
      <c r="F25" s="136">
        <f>ROUND('F2013 Sch Sales Callib'!$AV$12,0)*1000</f>
        <v>324000</v>
      </c>
      <c r="G25" s="136">
        <f>ROUND('F2013 Sch Sales Callib'!$AV$13,0)*1000</f>
        <v>384000</v>
      </c>
      <c r="H25" s="136">
        <f>ROUND('F2013 Sch Sales Callib'!$AV$14,0)*1000</f>
        <v>281000</v>
      </c>
      <c r="I25" s="136">
        <f>ROUND('F2013 Sch Sales Callib'!$AV$15,0)*1000</f>
        <v>335000</v>
      </c>
      <c r="J25" s="136">
        <f>ROUND('F2013 Sch Sales Callib'!$AV$16,0)*1000</f>
        <v>492000</v>
      </c>
      <c r="K25" s="136">
        <f>ROUND('F2013 Sch Sales Callib'!$AV$17,0)*1000</f>
        <v>393000</v>
      </c>
      <c r="L25" s="136">
        <f>ROUND('F2013 Sch Sales Callib'!$AV$18,0)*1000</f>
        <v>324000</v>
      </c>
      <c r="M25" s="136">
        <f>ROUND('F2013 Sch Sales Callib'!$AV$19,0)*1000</f>
        <v>362000</v>
      </c>
      <c r="N25" s="136">
        <f>SUM(B25:M25)</f>
        <v>4345000</v>
      </c>
    </row>
    <row r="26" spans="1:15" ht="13" thickBot="1" x14ac:dyDescent="0.3"/>
    <row r="27" spans="1:15" ht="13.5" thickBot="1" x14ac:dyDescent="0.35">
      <c r="A27" s="360" t="s">
        <v>126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2"/>
    </row>
    <row r="29" spans="1:15" x14ac:dyDescent="0.25">
      <c r="A29" s="100"/>
      <c r="B29" s="97"/>
      <c r="C29" s="161" t="s">
        <v>124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3"/>
    </row>
    <row r="30" spans="1:15" x14ac:dyDescent="0.25">
      <c r="A30" s="96" t="s">
        <v>127</v>
      </c>
      <c r="B30" s="96" t="s">
        <v>88</v>
      </c>
      <c r="C30" s="156" t="str">
        <f>+B5</f>
        <v>Sum of Oct 2014</v>
      </c>
      <c r="D30" s="156" t="str">
        <f t="shared" ref="D30:N30" si="104">+C5</f>
        <v>Sum of Nov 2014</v>
      </c>
      <c r="E30" s="156" t="str">
        <f t="shared" si="104"/>
        <v>Sum of Dec 2014</v>
      </c>
      <c r="F30" s="156" t="str">
        <f t="shared" si="104"/>
        <v>Sum of Jan 2015</v>
      </c>
      <c r="G30" s="156" t="str">
        <f t="shared" si="104"/>
        <v>Sum of Feb 2015</v>
      </c>
      <c r="H30" s="156" t="str">
        <f t="shared" si="104"/>
        <v>Sum of Mar 2015</v>
      </c>
      <c r="I30" s="156" t="str">
        <f t="shared" si="104"/>
        <v>Sum of Apr 2015</v>
      </c>
      <c r="J30" s="156" t="str">
        <f t="shared" si="104"/>
        <v>Sum of May 2015</v>
      </c>
      <c r="K30" s="156" t="str">
        <f t="shared" si="104"/>
        <v>Sum of Jun 2015</v>
      </c>
      <c r="L30" s="156" t="str">
        <f t="shared" si="104"/>
        <v>Sum of Jul 2015</v>
      </c>
      <c r="M30" s="156" t="str">
        <f t="shared" si="104"/>
        <v>Sum of Aug 2015</v>
      </c>
      <c r="N30" s="156" t="str">
        <f t="shared" si="104"/>
        <v>Sum of Sep 2015</v>
      </c>
    </row>
    <row r="31" spans="1:15" x14ac:dyDescent="0.25">
      <c r="A31" s="100" t="s">
        <v>128</v>
      </c>
      <c r="B31" s="158">
        <v>7</v>
      </c>
      <c r="C31" s="291">
        <f t="shared" ref="C31:N31" si="105">+C116*1000+C69*1000</f>
        <v>830719459.8807708</v>
      </c>
      <c r="D31" s="135">
        <f t="shared" si="105"/>
        <v>1015568593.3358988</v>
      </c>
      <c r="E31" s="135">
        <f t="shared" si="105"/>
        <v>1279930549.2973292</v>
      </c>
      <c r="F31" s="135">
        <f t="shared" si="105"/>
        <v>1240531119.5051799</v>
      </c>
      <c r="G31" s="135">
        <f t="shared" si="105"/>
        <v>1030611189.6855923</v>
      </c>
      <c r="H31" s="135">
        <f t="shared" si="105"/>
        <v>1033343412.2653908</v>
      </c>
      <c r="I31" s="135">
        <f t="shared" si="105"/>
        <v>870345449.00842369</v>
      </c>
      <c r="J31" s="135">
        <f t="shared" si="105"/>
        <v>744774663.87015045</v>
      </c>
      <c r="K31" s="135">
        <f t="shared" si="105"/>
        <v>670344822.23579764</v>
      </c>
      <c r="L31" s="135">
        <f t="shared" si="105"/>
        <v>679718211.45157766</v>
      </c>
      <c r="M31" s="135">
        <f t="shared" si="105"/>
        <v>680560804.29248893</v>
      </c>
      <c r="N31" s="165">
        <f t="shared" si="105"/>
        <v>682151292.61709106</v>
      </c>
    </row>
    <row r="32" spans="1:15" x14ac:dyDescent="0.25">
      <c r="A32" s="100" t="s">
        <v>129</v>
      </c>
      <c r="B32" s="160"/>
      <c r="C32" s="291">
        <f t="shared" ref="C32:N32" si="106">+C31</f>
        <v>830719459.8807708</v>
      </c>
      <c r="D32" s="135">
        <f t="shared" si="106"/>
        <v>1015568593.3358988</v>
      </c>
      <c r="E32" s="135">
        <f t="shared" si="106"/>
        <v>1279930549.2973292</v>
      </c>
      <c r="F32" s="135">
        <f t="shared" si="106"/>
        <v>1240531119.5051799</v>
      </c>
      <c r="G32" s="135">
        <f t="shared" si="106"/>
        <v>1030611189.6855923</v>
      </c>
      <c r="H32" s="135">
        <f t="shared" si="106"/>
        <v>1033343412.2653908</v>
      </c>
      <c r="I32" s="135">
        <f t="shared" si="106"/>
        <v>870345449.00842369</v>
      </c>
      <c r="J32" s="135">
        <f t="shared" si="106"/>
        <v>744774663.87015045</v>
      </c>
      <c r="K32" s="135">
        <f t="shared" si="106"/>
        <v>670344822.23579764</v>
      </c>
      <c r="L32" s="135">
        <f t="shared" si="106"/>
        <v>679718211.45157766</v>
      </c>
      <c r="M32" s="135">
        <f t="shared" si="106"/>
        <v>680560804.29248893</v>
      </c>
      <c r="N32" s="165">
        <f t="shared" si="106"/>
        <v>682151292.61709106</v>
      </c>
    </row>
    <row r="33" spans="1:14" x14ac:dyDescent="0.25">
      <c r="A33" s="100" t="s">
        <v>130</v>
      </c>
      <c r="B33" s="158">
        <v>24</v>
      </c>
      <c r="C33" s="291">
        <f t="shared" ref="C33:N33" si="107">+C118*1000+C71*1000</f>
        <v>195887499.79254138</v>
      </c>
      <c r="D33" s="135">
        <f t="shared" si="107"/>
        <v>212916995.75579262</v>
      </c>
      <c r="E33" s="135">
        <f t="shared" si="107"/>
        <v>239862896.28009978</v>
      </c>
      <c r="F33" s="135">
        <f t="shared" si="107"/>
        <v>250532312.20748526</v>
      </c>
      <c r="G33" s="135">
        <f t="shared" si="107"/>
        <v>221459415.15829042</v>
      </c>
      <c r="H33" s="135">
        <f t="shared" si="107"/>
        <v>231490666.73666763</v>
      </c>
      <c r="I33" s="135">
        <f t="shared" si="107"/>
        <v>208565471.30633351</v>
      </c>
      <c r="J33" s="135">
        <f t="shared" si="107"/>
        <v>200070494.04367739</v>
      </c>
      <c r="K33" s="135">
        <f t="shared" si="107"/>
        <v>197567594.09676978</v>
      </c>
      <c r="L33" s="135">
        <f t="shared" si="107"/>
        <v>204628048.92904919</v>
      </c>
      <c r="M33" s="135">
        <f t="shared" si="107"/>
        <v>209682277.36650512</v>
      </c>
      <c r="N33" s="165">
        <f t="shared" si="107"/>
        <v>197345868.42922595</v>
      </c>
    </row>
    <row r="34" spans="1:14" x14ac:dyDescent="0.25">
      <c r="A34" s="99"/>
      <c r="B34" s="159">
        <v>25</v>
      </c>
      <c r="C34" s="294">
        <f t="shared" ref="C34:N34" si="108">+C119*1000+C72*1000</f>
        <v>225370553.42448351</v>
      </c>
      <c r="D34" s="139">
        <f t="shared" si="108"/>
        <v>235554835.72648448</v>
      </c>
      <c r="E34" s="139">
        <f t="shared" si="108"/>
        <v>248514989.53371826</v>
      </c>
      <c r="F34" s="139">
        <f t="shared" si="108"/>
        <v>261059564.35328877</v>
      </c>
      <c r="G34" s="139">
        <f t="shared" si="108"/>
        <v>227002407.65710461</v>
      </c>
      <c r="H34" s="139">
        <f t="shared" si="108"/>
        <v>245523743.76546299</v>
      </c>
      <c r="I34" s="139">
        <f t="shared" si="108"/>
        <v>225913084.73019937</v>
      </c>
      <c r="J34" s="139">
        <f t="shared" si="108"/>
        <v>229183546.12069109</v>
      </c>
      <c r="K34" s="139">
        <f t="shared" si="108"/>
        <v>231765786.59620351</v>
      </c>
      <c r="L34" s="139">
        <f t="shared" si="108"/>
        <v>222090541.89318004</v>
      </c>
      <c r="M34" s="139">
        <f t="shared" si="108"/>
        <v>236237770.08643958</v>
      </c>
      <c r="N34" s="167">
        <f t="shared" si="108"/>
        <v>227576149.73116055</v>
      </c>
    </row>
    <row r="35" spans="1:14" x14ac:dyDescent="0.25">
      <c r="A35" s="99"/>
      <c r="B35" s="159">
        <v>26</v>
      </c>
      <c r="C35" s="294">
        <f t="shared" ref="C35:N35" si="109">+C120*1000+C73*1000</f>
        <v>144557877.52494177</v>
      </c>
      <c r="D35" s="139">
        <f t="shared" si="109"/>
        <v>149666059.58563679</v>
      </c>
      <c r="E35" s="139">
        <f t="shared" si="109"/>
        <v>147670654.88315108</v>
      </c>
      <c r="F35" s="139">
        <f t="shared" si="109"/>
        <v>123755969.23623651</v>
      </c>
      <c r="G35" s="139">
        <f t="shared" si="109"/>
        <v>132961407.32965857</v>
      </c>
      <c r="H35" s="139">
        <f t="shared" si="109"/>
        <v>142923788.71703792</v>
      </c>
      <c r="I35" s="139">
        <f t="shared" si="109"/>
        <v>140074289.98722017</v>
      </c>
      <c r="J35" s="139">
        <f t="shared" si="109"/>
        <v>132728056.0233165</v>
      </c>
      <c r="K35" s="139">
        <f t="shared" si="109"/>
        <v>141212078.12222251</v>
      </c>
      <c r="L35" s="139">
        <f t="shared" si="109"/>
        <v>148433672.34276149</v>
      </c>
      <c r="M35" s="139">
        <f t="shared" si="109"/>
        <v>152031737.09456253</v>
      </c>
      <c r="N35" s="167">
        <f t="shared" si="109"/>
        <v>147409845.38166556</v>
      </c>
    </row>
    <row r="36" spans="1:14" x14ac:dyDescent="0.25">
      <c r="A36" s="99"/>
      <c r="B36" s="159">
        <v>29</v>
      </c>
      <c r="C36" s="294">
        <f t="shared" ref="C36:N36" si="110">+C121*1000+C74*1000</f>
        <v>1545040.3305559473</v>
      </c>
      <c r="D36" s="139">
        <f t="shared" si="110"/>
        <v>552940.39483793522</v>
      </c>
      <c r="E36" s="139">
        <f t="shared" si="110"/>
        <v>408818.33267001796</v>
      </c>
      <c r="F36" s="139">
        <f t="shared" si="110"/>
        <v>384616.11204712337</v>
      </c>
      <c r="G36" s="139">
        <f t="shared" si="110"/>
        <v>352971.64408478606</v>
      </c>
      <c r="H36" s="139">
        <f t="shared" si="110"/>
        <v>367895.64027462469</v>
      </c>
      <c r="I36" s="139">
        <f t="shared" si="110"/>
        <v>389127.48472169845</v>
      </c>
      <c r="J36" s="139">
        <f t="shared" si="110"/>
        <v>811032.65063234058</v>
      </c>
      <c r="K36" s="139">
        <f t="shared" si="110"/>
        <v>1296711.948784336</v>
      </c>
      <c r="L36" s="139">
        <f t="shared" si="110"/>
        <v>1765884.3541835477</v>
      </c>
      <c r="M36" s="139">
        <f t="shared" si="110"/>
        <v>3912403.1541821836</v>
      </c>
      <c r="N36" s="167">
        <f t="shared" si="110"/>
        <v>3271867.715763079</v>
      </c>
    </row>
    <row r="37" spans="1:14" x14ac:dyDescent="0.25">
      <c r="A37" s="99"/>
      <c r="B37" s="159">
        <v>31</v>
      </c>
      <c r="C37" s="294">
        <f t="shared" ref="C37:N37" si="111">+C122*1000+C75*1000</f>
        <v>82204274.570817322</v>
      </c>
      <c r="D37" s="139">
        <f t="shared" si="111"/>
        <v>80045058.216461122</v>
      </c>
      <c r="E37" s="139">
        <f t="shared" si="111"/>
        <v>108044555.49311417</v>
      </c>
      <c r="F37" s="139">
        <f t="shared" si="111"/>
        <v>78713216.059037894</v>
      </c>
      <c r="G37" s="139">
        <f t="shared" si="111"/>
        <v>71983797.912956998</v>
      </c>
      <c r="H37" s="139">
        <f t="shared" si="111"/>
        <v>78091593.453984469</v>
      </c>
      <c r="I37" s="139">
        <f t="shared" si="111"/>
        <v>63595188.579677239</v>
      </c>
      <c r="J37" s="139">
        <f t="shared" si="111"/>
        <v>65702910.943307549</v>
      </c>
      <c r="K37" s="139">
        <f t="shared" si="111"/>
        <v>65917794.294362292</v>
      </c>
      <c r="L37" s="139">
        <f t="shared" si="111"/>
        <v>74952094.484131575</v>
      </c>
      <c r="M37" s="139">
        <f t="shared" si="111"/>
        <v>73918775.773713201</v>
      </c>
      <c r="N37" s="167">
        <f t="shared" si="111"/>
        <v>71233395.673912391</v>
      </c>
    </row>
    <row r="38" spans="1:14" x14ac:dyDescent="0.25">
      <c r="A38" s="99"/>
      <c r="B38" s="159">
        <v>35</v>
      </c>
      <c r="C38" s="294">
        <f t="shared" ref="C38:N38" si="112">+C123*1000+C76*1000</f>
        <v>662591.32762836257</v>
      </c>
      <c r="D38" s="139">
        <f t="shared" si="112"/>
        <v>286344.91943094222</v>
      </c>
      <c r="E38" s="139">
        <f t="shared" si="112"/>
        <v>5320.0562639792606</v>
      </c>
      <c r="F38" s="139">
        <f t="shared" si="112"/>
        <v>3083.1076534183303</v>
      </c>
      <c r="G38" s="139">
        <f t="shared" si="112"/>
        <v>2745.9981980842513</v>
      </c>
      <c r="H38" s="139">
        <f t="shared" si="112"/>
        <v>2962.9797972693532</v>
      </c>
      <c r="I38" s="139">
        <f t="shared" si="112"/>
        <v>3006.6691204523645</v>
      </c>
      <c r="J38" s="139">
        <f t="shared" si="112"/>
        <v>316325.08004608087</v>
      </c>
      <c r="K38" s="139">
        <f t="shared" si="112"/>
        <v>774847.08106601855</v>
      </c>
      <c r="L38" s="139">
        <f t="shared" si="112"/>
        <v>649713.43706749065</v>
      </c>
      <c r="M38" s="139">
        <f t="shared" si="112"/>
        <v>995135.66816513578</v>
      </c>
      <c r="N38" s="167">
        <f t="shared" si="112"/>
        <v>904894.69163298083</v>
      </c>
    </row>
    <row r="39" spans="1:14" x14ac:dyDescent="0.25">
      <c r="A39" s="99"/>
      <c r="B39" s="159">
        <v>40</v>
      </c>
      <c r="C39" s="294">
        <f t="shared" ref="C39:N39" si="113">+C124*1000+C77*1000</f>
        <v>57653447.537555441</v>
      </c>
      <c r="D39" s="139">
        <f t="shared" si="113"/>
        <v>51084849.613185495</v>
      </c>
      <c r="E39" s="139">
        <f t="shared" si="113"/>
        <v>52922047.600476474</v>
      </c>
      <c r="F39" s="139">
        <f t="shared" si="113"/>
        <v>59971249.63087564</v>
      </c>
      <c r="G39" s="139">
        <f t="shared" si="113"/>
        <v>49269997.735001504</v>
      </c>
      <c r="H39" s="139">
        <f t="shared" si="113"/>
        <v>52440082.937868357</v>
      </c>
      <c r="I39" s="139">
        <f t="shared" si="113"/>
        <v>50488046.975608528</v>
      </c>
      <c r="J39" s="139">
        <f t="shared" si="113"/>
        <v>58617650.061701253</v>
      </c>
      <c r="K39" s="139">
        <f t="shared" si="113"/>
        <v>43940442.853479095</v>
      </c>
      <c r="L39" s="139">
        <f t="shared" si="113"/>
        <v>65488440.122467063</v>
      </c>
      <c r="M39" s="139">
        <f t="shared" si="113"/>
        <v>65219335.911036417</v>
      </c>
      <c r="N39" s="167">
        <f t="shared" si="113"/>
        <v>51597130.20756796</v>
      </c>
    </row>
    <row r="40" spans="1:14" x14ac:dyDescent="0.25">
      <c r="A40" s="99"/>
      <c r="B40" s="159">
        <v>43</v>
      </c>
      <c r="C40" s="294">
        <f t="shared" ref="C40:N40" si="114">+C125*1000+C78*1000</f>
        <v>9967258.3450185489</v>
      </c>
      <c r="D40" s="139">
        <f t="shared" si="114"/>
        <v>13106913.984242188</v>
      </c>
      <c r="E40" s="139">
        <f t="shared" si="114"/>
        <v>17007287.386105064</v>
      </c>
      <c r="F40" s="139">
        <f t="shared" si="114"/>
        <v>17686308.764365032</v>
      </c>
      <c r="G40" s="139">
        <f t="shared" si="114"/>
        <v>16204487.445754439</v>
      </c>
      <c r="H40" s="139">
        <f t="shared" si="114"/>
        <v>16998752.995404936</v>
      </c>
      <c r="I40" s="139">
        <f t="shared" si="114"/>
        <v>12850062.76190258</v>
      </c>
      <c r="J40" s="139">
        <f t="shared" si="114"/>
        <v>12475227.001904448</v>
      </c>
      <c r="K40" s="139">
        <f t="shared" si="114"/>
        <v>9877379.0272280667</v>
      </c>
      <c r="L40" s="139">
        <f t="shared" si="114"/>
        <v>7103200.3739543315</v>
      </c>
      <c r="M40" s="139">
        <f t="shared" si="114"/>
        <v>5483816.7675270475</v>
      </c>
      <c r="N40" s="167">
        <f t="shared" si="114"/>
        <v>6968076.5954656377</v>
      </c>
    </row>
    <row r="41" spans="1:14" x14ac:dyDescent="0.25">
      <c r="A41" s="99"/>
      <c r="B41" s="159">
        <v>46</v>
      </c>
      <c r="C41" s="294">
        <f t="shared" ref="C41:N41" si="115">+C126*1000+C79*1000</f>
        <v>0</v>
      </c>
      <c r="D41" s="139">
        <f t="shared" si="115"/>
        <v>824.75864801479327</v>
      </c>
      <c r="E41" s="139">
        <f t="shared" si="115"/>
        <v>412.7506920870008</v>
      </c>
      <c r="F41" s="139">
        <f t="shared" si="115"/>
        <v>422.53076798228778</v>
      </c>
      <c r="G41" s="139">
        <f t="shared" si="115"/>
        <v>387.8494388010555</v>
      </c>
      <c r="H41" s="139">
        <f t="shared" si="115"/>
        <v>439.001623967478</v>
      </c>
      <c r="I41" s="139">
        <f t="shared" si="115"/>
        <v>1367.5878781699816</v>
      </c>
      <c r="J41" s="139">
        <f t="shared" si="115"/>
        <v>1845.6788318893568</v>
      </c>
      <c r="K41" s="139">
        <f t="shared" si="115"/>
        <v>2072.1619186570815</v>
      </c>
      <c r="L41" s="139">
        <f t="shared" si="115"/>
        <v>1263.4015149045622</v>
      </c>
      <c r="M41" s="139">
        <f t="shared" si="115"/>
        <v>0</v>
      </c>
      <c r="N41" s="167">
        <f t="shared" si="115"/>
        <v>0</v>
      </c>
    </row>
    <row r="42" spans="1:14" x14ac:dyDescent="0.25">
      <c r="A42" s="99"/>
      <c r="B42" s="159">
        <v>49</v>
      </c>
      <c r="C42" s="294">
        <f t="shared" ref="C42:N42" si="116">+C127*1000+C80*1000</f>
        <v>36958766.85747207</v>
      </c>
      <c r="D42" s="139">
        <f t="shared" si="116"/>
        <v>39977763.553025797</v>
      </c>
      <c r="E42" s="139">
        <f t="shared" si="116"/>
        <v>40184229.273792893</v>
      </c>
      <c r="F42" s="139">
        <f t="shared" si="116"/>
        <v>38284352.216330074</v>
      </c>
      <c r="G42" s="139">
        <f t="shared" si="116"/>
        <v>36799558.728594929</v>
      </c>
      <c r="H42" s="139">
        <f t="shared" si="116"/>
        <v>36697666.78399422</v>
      </c>
      <c r="I42" s="139">
        <f t="shared" si="116"/>
        <v>38388113.43108312</v>
      </c>
      <c r="J42" s="139">
        <f t="shared" si="116"/>
        <v>36668701.258143447</v>
      </c>
      <c r="K42" s="139">
        <f t="shared" si="116"/>
        <v>36373232.634798199</v>
      </c>
      <c r="L42" s="139">
        <f t="shared" si="116"/>
        <v>43596540.827140182</v>
      </c>
      <c r="M42" s="139">
        <f t="shared" si="116"/>
        <v>38931367.146944523</v>
      </c>
      <c r="N42" s="167">
        <f t="shared" si="116"/>
        <v>39846151.064644687</v>
      </c>
    </row>
    <row r="43" spans="1:14" x14ac:dyDescent="0.25">
      <c r="A43" s="99"/>
      <c r="B43" s="159" t="s">
        <v>77</v>
      </c>
      <c r="C43" s="294">
        <f t="shared" ref="C43:N43" si="117">+C128*1000+C81*1000</f>
        <v>552121.47831083124</v>
      </c>
      <c r="D43" s="139">
        <f t="shared" si="117"/>
        <v>550745.21088472765</v>
      </c>
      <c r="E43" s="139">
        <f t="shared" si="117"/>
        <v>551266.41828417627</v>
      </c>
      <c r="F43" s="139">
        <f t="shared" si="117"/>
        <v>545906.75946628442</v>
      </c>
      <c r="G43" s="139">
        <f t="shared" si="117"/>
        <v>517084.85103922396</v>
      </c>
      <c r="H43" s="139">
        <f t="shared" si="117"/>
        <v>555653.77108628699</v>
      </c>
      <c r="I43" s="139">
        <f t="shared" si="117"/>
        <v>550094.72096977104</v>
      </c>
      <c r="J43" s="139">
        <f t="shared" si="117"/>
        <v>578908.9214997961</v>
      </c>
      <c r="K43" s="139">
        <f t="shared" si="117"/>
        <v>528731.92201534985</v>
      </c>
      <c r="L43" s="139">
        <f t="shared" si="117"/>
        <v>555186.15452848573</v>
      </c>
      <c r="M43" s="139">
        <f t="shared" si="117"/>
        <v>557891.6601791092</v>
      </c>
      <c r="N43" s="167">
        <f t="shared" si="117"/>
        <v>516585.37624573888</v>
      </c>
    </row>
    <row r="44" spans="1:14" x14ac:dyDescent="0.25">
      <c r="A44" s="100" t="s">
        <v>131</v>
      </c>
      <c r="B44" s="160"/>
      <c r="C44" s="291">
        <f t="shared" ref="C44:N44" si="118">SUM(C33:C43)</f>
        <v>755359431.18932521</v>
      </c>
      <c r="D44" s="135">
        <f t="shared" si="118"/>
        <v>783743331.71863031</v>
      </c>
      <c r="E44" s="135">
        <f t="shared" si="118"/>
        <v>855172478.0083679</v>
      </c>
      <c r="F44" s="135">
        <f t="shared" si="118"/>
        <v>830937000.97755396</v>
      </c>
      <c r="G44" s="135">
        <f t="shared" si="118"/>
        <v>756554262.31012213</v>
      </c>
      <c r="H44" s="135">
        <f t="shared" si="118"/>
        <v>805093246.78320277</v>
      </c>
      <c r="I44" s="135">
        <f t="shared" si="118"/>
        <v>740817854.23471451</v>
      </c>
      <c r="J44" s="135">
        <f t="shared" si="118"/>
        <v>737154697.78375196</v>
      </c>
      <c r="K44" s="135">
        <f t="shared" si="118"/>
        <v>729256670.73884785</v>
      </c>
      <c r="L44" s="135">
        <f t="shared" si="118"/>
        <v>769264586.31997836</v>
      </c>
      <c r="M44" s="135">
        <f t="shared" si="118"/>
        <v>786970510.62925494</v>
      </c>
      <c r="N44" s="165">
        <f t="shared" si="118"/>
        <v>746669964.86728454</v>
      </c>
    </row>
    <row r="45" spans="1:14" x14ac:dyDescent="0.25">
      <c r="A45" s="100" t="s">
        <v>132</v>
      </c>
      <c r="B45" s="158">
        <v>24</v>
      </c>
      <c r="C45" s="291">
        <f t="shared" ref="C45:N45" si="119">+C130*1000+C83*1000</f>
        <v>7164307.9820337081</v>
      </c>
      <c r="D45" s="135">
        <f t="shared" si="119"/>
        <v>7375814.979502799</v>
      </c>
      <c r="E45" s="135">
        <f t="shared" si="119"/>
        <v>8254781.0742783751</v>
      </c>
      <c r="F45" s="135">
        <f t="shared" si="119"/>
        <v>9498433.8075030167</v>
      </c>
      <c r="G45" s="135">
        <f t="shared" si="119"/>
        <v>8109538.6649513124</v>
      </c>
      <c r="H45" s="135">
        <f t="shared" si="119"/>
        <v>8318903.4459400279</v>
      </c>
      <c r="I45" s="135">
        <f t="shared" si="119"/>
        <v>7754843.1365799075</v>
      </c>
      <c r="J45" s="135">
        <f t="shared" si="119"/>
        <v>7923031.1342348885</v>
      </c>
      <c r="K45" s="135">
        <f t="shared" si="119"/>
        <v>6705380.0687258178</v>
      </c>
      <c r="L45" s="135">
        <f t="shared" si="119"/>
        <v>6884572.1582361683</v>
      </c>
      <c r="M45" s="135">
        <f t="shared" si="119"/>
        <v>7072190.8872379689</v>
      </c>
      <c r="N45" s="165">
        <f t="shared" si="119"/>
        <v>6761674.8314573523</v>
      </c>
    </row>
    <row r="46" spans="1:14" x14ac:dyDescent="0.25">
      <c r="A46" s="99"/>
      <c r="B46" s="159">
        <v>25</v>
      </c>
      <c r="C46" s="294">
        <f t="shared" ref="C46:N46" si="120">+C131*1000+C84*1000</f>
        <v>15700916.415670574</v>
      </c>
      <c r="D46" s="139">
        <f t="shared" si="120"/>
        <v>14923943.958555844</v>
      </c>
      <c r="E46" s="139">
        <f t="shared" si="120"/>
        <v>15501488.645057909</v>
      </c>
      <c r="F46" s="139">
        <f t="shared" si="120"/>
        <v>17142743.870968301</v>
      </c>
      <c r="G46" s="139">
        <f t="shared" si="120"/>
        <v>15304113.172963852</v>
      </c>
      <c r="H46" s="139">
        <f t="shared" si="120"/>
        <v>16661416.428487735</v>
      </c>
      <c r="I46" s="139">
        <f t="shared" si="120"/>
        <v>16548533.06633151</v>
      </c>
      <c r="J46" s="139">
        <f t="shared" si="120"/>
        <v>17923891.29550983</v>
      </c>
      <c r="K46" s="139">
        <f t="shared" si="120"/>
        <v>16457783.736747941</v>
      </c>
      <c r="L46" s="139">
        <f t="shared" si="120"/>
        <v>13125159.790298022</v>
      </c>
      <c r="M46" s="139">
        <f t="shared" si="120"/>
        <v>16137683.457904983</v>
      </c>
      <c r="N46" s="167">
        <f t="shared" si="120"/>
        <v>14868862.612616768</v>
      </c>
    </row>
    <row r="47" spans="1:14" x14ac:dyDescent="0.25">
      <c r="A47" s="99"/>
      <c r="B47" s="159">
        <v>26</v>
      </c>
      <c r="C47" s="294">
        <f t="shared" ref="C47:N47" si="121">+C132*1000+C85*1000</f>
        <v>22068917.335013945</v>
      </c>
      <c r="D47" s="139">
        <f t="shared" si="121"/>
        <v>20051847.078567225</v>
      </c>
      <c r="E47" s="139">
        <f t="shared" si="121"/>
        <v>19316368.659871321</v>
      </c>
      <c r="F47" s="139">
        <f t="shared" si="121"/>
        <v>20357096.828646127</v>
      </c>
      <c r="G47" s="139">
        <f t="shared" si="121"/>
        <v>17620703.281122319</v>
      </c>
      <c r="H47" s="139">
        <f t="shared" si="121"/>
        <v>21925296.236319017</v>
      </c>
      <c r="I47" s="139">
        <f t="shared" si="121"/>
        <v>23128097.493652508</v>
      </c>
      <c r="J47" s="139">
        <f t="shared" si="121"/>
        <v>18122730.373351552</v>
      </c>
      <c r="K47" s="139">
        <f t="shared" si="121"/>
        <v>18114125.908293474</v>
      </c>
      <c r="L47" s="139">
        <f t="shared" si="121"/>
        <v>24604107.819205631</v>
      </c>
      <c r="M47" s="139">
        <f t="shared" si="121"/>
        <v>21860466.125690803</v>
      </c>
      <c r="N47" s="167">
        <f t="shared" si="121"/>
        <v>20155024.99351136</v>
      </c>
    </row>
    <row r="48" spans="1:14" x14ac:dyDescent="0.25">
      <c r="A48" s="99"/>
      <c r="B48" s="159">
        <v>31</v>
      </c>
      <c r="C48" s="294">
        <f t="shared" ref="C48:N48" si="122">+C133*1000+C86*1000</f>
        <v>37724828.141298652</v>
      </c>
      <c r="D48" s="139">
        <f t="shared" si="122"/>
        <v>35620597.172735967</v>
      </c>
      <c r="E48" s="139">
        <f t="shared" si="122"/>
        <v>35837404.633204363</v>
      </c>
      <c r="F48" s="139">
        <f t="shared" si="122"/>
        <v>40220357.994705215</v>
      </c>
      <c r="G48" s="139">
        <f t="shared" si="122"/>
        <v>36067279.90216554</v>
      </c>
      <c r="H48" s="139">
        <f t="shared" si="122"/>
        <v>38272409.000840299</v>
      </c>
      <c r="I48" s="139">
        <f t="shared" si="122"/>
        <v>33437170.861043815</v>
      </c>
      <c r="J48" s="139">
        <f t="shared" si="122"/>
        <v>35914051.439915843</v>
      </c>
      <c r="K48" s="139">
        <f t="shared" si="122"/>
        <v>39153227.97642903</v>
      </c>
      <c r="L48" s="139">
        <f t="shared" si="122"/>
        <v>36355389.878803127</v>
      </c>
      <c r="M48" s="139">
        <f t="shared" si="122"/>
        <v>37914071.064365193</v>
      </c>
      <c r="N48" s="167">
        <f t="shared" si="122"/>
        <v>35483240.832942024</v>
      </c>
    </row>
    <row r="49" spans="1:15" x14ac:dyDescent="0.25">
      <c r="A49" s="99"/>
      <c r="B49" s="159">
        <v>40</v>
      </c>
      <c r="C49" s="294">
        <f t="shared" ref="C49:N49" si="123">+C134*1000+C87*1000</f>
        <v>4470006.9922186984</v>
      </c>
      <c r="D49" s="139">
        <f t="shared" si="123"/>
        <v>4000957.697164902</v>
      </c>
      <c r="E49" s="139">
        <f t="shared" si="123"/>
        <v>4399065.092787209</v>
      </c>
      <c r="F49" s="139">
        <f t="shared" si="123"/>
        <v>4255992.8235565154</v>
      </c>
      <c r="G49" s="139">
        <f t="shared" si="123"/>
        <v>3991378.6849204069</v>
      </c>
      <c r="H49" s="139">
        <f t="shared" si="123"/>
        <v>4227375.6154975304</v>
      </c>
      <c r="I49" s="139">
        <f t="shared" si="123"/>
        <v>599690.46425025584</v>
      </c>
      <c r="J49" s="139">
        <f t="shared" si="123"/>
        <v>5325843.2406311771</v>
      </c>
      <c r="K49" s="139">
        <f t="shared" si="123"/>
        <v>7403972.8682157816</v>
      </c>
      <c r="L49" s="139">
        <f t="shared" si="123"/>
        <v>3911160.0108126439</v>
      </c>
      <c r="M49" s="139">
        <f t="shared" si="123"/>
        <v>4914584.2314238753</v>
      </c>
      <c r="N49" s="167">
        <f t="shared" si="123"/>
        <v>4737177.475730381</v>
      </c>
    </row>
    <row r="50" spans="1:15" x14ac:dyDescent="0.25">
      <c r="A50" s="99"/>
      <c r="B50" s="159">
        <v>46</v>
      </c>
      <c r="C50" s="294">
        <f t="shared" ref="C50:N50" si="124">+C135*1000+C88*1000</f>
        <v>4765938.4090850549</v>
      </c>
      <c r="D50" s="139">
        <f t="shared" si="124"/>
        <v>4697153.3690997539</v>
      </c>
      <c r="E50" s="139">
        <f t="shared" si="124"/>
        <v>3993314.6286986009</v>
      </c>
      <c r="F50" s="139">
        <f t="shared" si="124"/>
        <v>4174638.2425866374</v>
      </c>
      <c r="G50" s="139">
        <f t="shared" si="124"/>
        <v>3920692.3565780045</v>
      </c>
      <c r="H50" s="139">
        <f t="shared" si="124"/>
        <v>4015079.1298642438</v>
      </c>
      <c r="I50" s="139">
        <f t="shared" si="124"/>
        <v>4018618.7653812799</v>
      </c>
      <c r="J50" s="139">
        <f t="shared" si="124"/>
        <v>3825860.1834968287</v>
      </c>
      <c r="K50" s="139">
        <f t="shared" si="124"/>
        <v>3872366.3129744884</v>
      </c>
      <c r="L50" s="139">
        <f t="shared" si="124"/>
        <v>4357919.1186898695</v>
      </c>
      <c r="M50" s="139">
        <f t="shared" si="124"/>
        <v>5276383.4605092248</v>
      </c>
      <c r="N50" s="167">
        <f t="shared" si="124"/>
        <v>4508150.2100580111</v>
      </c>
    </row>
    <row r="51" spans="1:15" x14ac:dyDescent="0.25">
      <c r="A51" s="99"/>
      <c r="B51" s="159">
        <v>49</v>
      </c>
      <c r="C51" s="294">
        <f t="shared" ref="C51:N51" si="125">+C136*1000+C89*1000</f>
        <v>8985961.0133989751</v>
      </c>
      <c r="D51" s="139">
        <f t="shared" si="125"/>
        <v>8753178.4505299553</v>
      </c>
      <c r="E51" s="139">
        <f t="shared" si="125"/>
        <v>8826173.8962096851</v>
      </c>
      <c r="F51" s="139">
        <f t="shared" si="125"/>
        <v>10618414.570888648</v>
      </c>
      <c r="G51" s="139">
        <f t="shared" si="125"/>
        <v>9061101.2287324741</v>
      </c>
      <c r="H51" s="139">
        <f t="shared" si="125"/>
        <v>8953424.8398900814</v>
      </c>
      <c r="I51" s="139">
        <f t="shared" si="125"/>
        <v>9579423.9662070647</v>
      </c>
      <c r="J51" s="139">
        <f t="shared" si="125"/>
        <v>10229409.804167433</v>
      </c>
      <c r="K51" s="139">
        <f t="shared" si="125"/>
        <v>7349088.2233882323</v>
      </c>
      <c r="L51" s="139">
        <f t="shared" si="125"/>
        <v>11850972.03750835</v>
      </c>
      <c r="M51" s="139">
        <f t="shared" si="125"/>
        <v>9081959.1951623671</v>
      </c>
      <c r="N51" s="167">
        <f t="shared" si="125"/>
        <v>8791859.6127215382</v>
      </c>
    </row>
    <row r="52" spans="1:15" x14ac:dyDescent="0.25">
      <c r="A52" s="100" t="s">
        <v>133</v>
      </c>
      <c r="B52" s="160"/>
      <c r="C52" s="291">
        <f t="shared" ref="C52:N52" si="126">SUM(C45:C51)</f>
        <v>100880876.28871961</v>
      </c>
      <c r="D52" s="135">
        <f t="shared" si="126"/>
        <v>95423492.706156462</v>
      </c>
      <c r="E52" s="135">
        <f t="shared" si="126"/>
        <v>96128596.630107477</v>
      </c>
      <c r="F52" s="135">
        <f t="shared" si="126"/>
        <v>106267678.13885447</v>
      </c>
      <c r="G52" s="135">
        <f t="shared" si="126"/>
        <v>94074807.291433901</v>
      </c>
      <c r="H52" s="135">
        <f t="shared" si="126"/>
        <v>102373904.69683893</v>
      </c>
      <c r="I52" s="135">
        <f t="shared" si="126"/>
        <v>95066377.753446341</v>
      </c>
      <c r="J52" s="135">
        <f t="shared" si="126"/>
        <v>99264817.471307561</v>
      </c>
      <c r="K52" s="135">
        <f t="shared" si="126"/>
        <v>99055945.094774753</v>
      </c>
      <c r="L52" s="135">
        <f t="shared" si="126"/>
        <v>101089280.8135538</v>
      </c>
      <c r="M52" s="135">
        <f t="shared" si="126"/>
        <v>102257338.42229442</v>
      </c>
      <c r="N52" s="165">
        <f t="shared" si="126"/>
        <v>95305990.569037437</v>
      </c>
    </row>
    <row r="53" spans="1:15" x14ac:dyDescent="0.25">
      <c r="A53" s="100" t="s">
        <v>77</v>
      </c>
      <c r="B53" s="158">
        <v>24</v>
      </c>
      <c r="C53" s="291">
        <f t="shared" ref="C53:N53" si="127">+C138*1000+C91*1000</f>
        <v>1319962.8948040518</v>
      </c>
      <c r="D53" s="135">
        <f t="shared" si="127"/>
        <v>1640859.2078042722</v>
      </c>
      <c r="E53" s="135">
        <f t="shared" si="127"/>
        <v>1730813.5871463269</v>
      </c>
      <c r="F53" s="135">
        <f t="shared" si="127"/>
        <v>1709296.9048856185</v>
      </c>
      <c r="G53" s="135">
        <f t="shared" si="127"/>
        <v>1422741.5536129526</v>
      </c>
      <c r="H53" s="135">
        <f t="shared" si="127"/>
        <v>1433285.0820453304</v>
      </c>
      <c r="I53" s="135">
        <f t="shared" si="127"/>
        <v>1350172.6247090711</v>
      </c>
      <c r="J53" s="135">
        <f t="shared" si="127"/>
        <v>1128828.5337455941</v>
      </c>
      <c r="K53" s="135">
        <f t="shared" si="127"/>
        <v>1470356.0675607396</v>
      </c>
      <c r="L53" s="135">
        <f t="shared" si="127"/>
        <v>745831.48315514636</v>
      </c>
      <c r="M53" s="135">
        <f t="shared" si="127"/>
        <v>1045859.9136188643</v>
      </c>
      <c r="N53" s="165">
        <f t="shared" si="127"/>
        <v>1142837.3875904807</v>
      </c>
    </row>
    <row r="54" spans="1:15" x14ac:dyDescent="0.25">
      <c r="A54" s="99"/>
      <c r="B54" s="159">
        <v>25</v>
      </c>
      <c r="C54" s="294">
        <f t="shared" ref="C54:N54" si="128">+C139*1000+C92*1000</f>
        <v>81063.843677238256</v>
      </c>
      <c r="D54" s="139">
        <f t="shared" si="128"/>
        <v>90551.171484861363</v>
      </c>
      <c r="E54" s="139">
        <f t="shared" si="128"/>
        <v>112607.92740795015</v>
      </c>
      <c r="F54" s="139">
        <f t="shared" si="128"/>
        <v>117310.60570912791</v>
      </c>
      <c r="G54" s="139">
        <f t="shared" si="128"/>
        <v>110371.18850177524</v>
      </c>
      <c r="H54" s="139">
        <f t="shared" si="128"/>
        <v>109317.74600775912</v>
      </c>
      <c r="I54" s="139">
        <f t="shared" si="128"/>
        <v>105368.61672902174</v>
      </c>
      <c r="J54" s="139">
        <f t="shared" si="128"/>
        <v>70508.279482824582</v>
      </c>
      <c r="K54" s="139">
        <f t="shared" si="128"/>
        <v>95107.858259636705</v>
      </c>
      <c r="L54" s="139">
        <f t="shared" si="128"/>
        <v>58491.532859410989</v>
      </c>
      <c r="M54" s="139">
        <f t="shared" si="128"/>
        <v>82331.848778814499</v>
      </c>
      <c r="N54" s="167">
        <f t="shared" si="128"/>
        <v>82022.642062501924</v>
      </c>
    </row>
    <row r="55" spans="1:15" x14ac:dyDescent="0.25">
      <c r="A55" s="99"/>
      <c r="B55" s="159">
        <v>26</v>
      </c>
      <c r="C55" s="294">
        <f t="shared" ref="C55:N55" si="129">+C140*1000+C93*1000</f>
        <v>0</v>
      </c>
      <c r="D55" s="139">
        <f t="shared" si="129"/>
        <v>0</v>
      </c>
      <c r="E55" s="139">
        <f t="shared" si="129"/>
        <v>0</v>
      </c>
      <c r="F55" s="139">
        <f t="shared" si="129"/>
        <v>0</v>
      </c>
      <c r="G55" s="139">
        <f t="shared" si="129"/>
        <v>0</v>
      </c>
      <c r="H55" s="139">
        <f t="shared" si="129"/>
        <v>0</v>
      </c>
      <c r="I55" s="139">
        <f t="shared" si="129"/>
        <v>0</v>
      </c>
      <c r="J55" s="139">
        <f t="shared" si="129"/>
        <v>0</v>
      </c>
      <c r="K55" s="139">
        <f t="shared" si="129"/>
        <v>0</v>
      </c>
      <c r="L55" s="139">
        <f t="shared" si="129"/>
        <v>0</v>
      </c>
      <c r="M55" s="139">
        <f t="shared" si="129"/>
        <v>0</v>
      </c>
      <c r="N55" s="167">
        <f t="shared" si="129"/>
        <v>0</v>
      </c>
    </row>
    <row r="56" spans="1:15" x14ac:dyDescent="0.25">
      <c r="A56" s="99"/>
      <c r="B56" s="159" t="s">
        <v>77</v>
      </c>
      <c r="C56" s="294">
        <f t="shared" ref="C56:N56" si="130">+C141*1000+C94*1000</f>
        <v>6158118.8430219479</v>
      </c>
      <c r="D56" s="139">
        <f t="shared" si="130"/>
        <v>6463404.4240528215</v>
      </c>
      <c r="E56" s="139">
        <f t="shared" si="130"/>
        <v>6372633.425401994</v>
      </c>
      <c r="F56" s="139">
        <f t="shared" si="130"/>
        <v>6164613.8626144864</v>
      </c>
      <c r="G56" s="139">
        <f t="shared" si="130"/>
        <v>5740735.7297788523</v>
      </c>
      <c r="H56" s="139">
        <f t="shared" si="130"/>
        <v>6516400.7902568541</v>
      </c>
      <c r="I56" s="139">
        <f t="shared" si="130"/>
        <v>5604561.6860061074</v>
      </c>
      <c r="J56" s="139">
        <f t="shared" si="130"/>
        <v>6115619.5080815041</v>
      </c>
      <c r="K56" s="139">
        <f t="shared" si="130"/>
        <v>5609784.7132053198</v>
      </c>
      <c r="L56" s="139">
        <f t="shared" si="130"/>
        <v>6129425.9177874932</v>
      </c>
      <c r="M56" s="139">
        <f t="shared" si="130"/>
        <v>6241778.9200926889</v>
      </c>
      <c r="N56" s="167">
        <f t="shared" si="130"/>
        <v>6095971.8947704099</v>
      </c>
    </row>
    <row r="57" spans="1:15" x14ac:dyDescent="0.25">
      <c r="A57" s="100" t="s">
        <v>134</v>
      </c>
      <c r="B57" s="160"/>
      <c r="C57" s="291">
        <f t="shared" ref="C57:N57" si="131">SUM(C53:C56)</f>
        <v>7559145.5815032385</v>
      </c>
      <c r="D57" s="135">
        <f t="shared" si="131"/>
        <v>8194814.8033419549</v>
      </c>
      <c r="E57" s="135">
        <f t="shared" si="131"/>
        <v>8216054.9399562711</v>
      </c>
      <c r="F57" s="135">
        <f t="shared" si="131"/>
        <v>7991221.3732092325</v>
      </c>
      <c r="G57" s="135">
        <f t="shared" si="131"/>
        <v>7273848.4718935806</v>
      </c>
      <c r="H57" s="135">
        <f t="shared" si="131"/>
        <v>8059003.6183099439</v>
      </c>
      <c r="I57" s="135">
        <f t="shared" si="131"/>
        <v>7060102.9274442</v>
      </c>
      <c r="J57" s="135">
        <f t="shared" si="131"/>
        <v>7314956.3213099223</v>
      </c>
      <c r="K57" s="135">
        <f t="shared" si="131"/>
        <v>7175248.6390256956</v>
      </c>
      <c r="L57" s="135">
        <f t="shared" si="131"/>
        <v>6933748.9338020505</v>
      </c>
      <c r="M57" s="135">
        <f t="shared" si="131"/>
        <v>7369970.6824903674</v>
      </c>
      <c r="N57" s="165">
        <f t="shared" si="131"/>
        <v>7320831.9244233929</v>
      </c>
    </row>
    <row r="58" spans="1:15" x14ac:dyDescent="0.25">
      <c r="A58" s="100" t="s">
        <v>79</v>
      </c>
      <c r="B58" s="158" t="s">
        <v>79</v>
      </c>
      <c r="C58" s="164">
        <f t="shared" ref="C58:N58" si="132">+C143*1000+C96*1000</f>
        <v>498284.22750686144</v>
      </c>
      <c r="D58" s="135">
        <f t="shared" si="132"/>
        <v>725592.82197454479</v>
      </c>
      <c r="E58" s="135">
        <f t="shared" si="132"/>
        <v>1046379.8924121038</v>
      </c>
      <c r="F58" s="135">
        <f t="shared" si="132"/>
        <v>890141.82281624712</v>
      </c>
      <c r="G58" s="135">
        <f t="shared" si="132"/>
        <v>823327.7578929367</v>
      </c>
      <c r="H58" s="135">
        <f t="shared" si="132"/>
        <v>824703.99813463923</v>
      </c>
      <c r="I58" s="135">
        <f t="shared" si="132"/>
        <v>609617.74144781928</v>
      </c>
      <c r="J58" s="135">
        <f t="shared" si="132"/>
        <v>478385.8942201414</v>
      </c>
      <c r="K58" s="135">
        <f t="shared" si="132"/>
        <v>373007.59023140831</v>
      </c>
      <c r="L58" s="135">
        <f t="shared" si="132"/>
        <v>335821.86306996678</v>
      </c>
      <c r="M58" s="135">
        <f t="shared" si="132"/>
        <v>301009.45751365885</v>
      </c>
      <c r="N58" s="165">
        <f t="shared" si="132"/>
        <v>341153.87999182206</v>
      </c>
    </row>
    <row r="59" spans="1:15" x14ac:dyDescent="0.25">
      <c r="A59" s="100" t="s">
        <v>135</v>
      </c>
      <c r="B59" s="160"/>
      <c r="C59" s="164">
        <f t="shared" ref="C59:N59" si="133">+C58</f>
        <v>498284.22750686144</v>
      </c>
      <c r="D59" s="135">
        <f t="shared" si="133"/>
        <v>725592.82197454479</v>
      </c>
      <c r="E59" s="135">
        <f t="shared" si="133"/>
        <v>1046379.8924121038</v>
      </c>
      <c r="F59" s="135">
        <f t="shared" si="133"/>
        <v>890141.82281624712</v>
      </c>
      <c r="G59" s="135">
        <f t="shared" si="133"/>
        <v>823327.7578929367</v>
      </c>
      <c r="H59" s="135">
        <f t="shared" si="133"/>
        <v>824703.99813463923</v>
      </c>
      <c r="I59" s="135">
        <f t="shared" si="133"/>
        <v>609617.74144781928</v>
      </c>
      <c r="J59" s="135">
        <f t="shared" si="133"/>
        <v>478385.8942201414</v>
      </c>
      <c r="K59" s="135">
        <f t="shared" si="133"/>
        <v>373007.59023140831</v>
      </c>
      <c r="L59" s="135">
        <f t="shared" si="133"/>
        <v>335821.86306996678</v>
      </c>
      <c r="M59" s="135">
        <f t="shared" si="133"/>
        <v>301009.45751365885</v>
      </c>
      <c r="N59" s="165">
        <f t="shared" si="133"/>
        <v>341153.87999182206</v>
      </c>
    </row>
    <row r="60" spans="1:15" x14ac:dyDescent="0.25">
      <c r="A60" s="100" t="s">
        <v>119</v>
      </c>
      <c r="B60" s="158">
        <v>449</v>
      </c>
      <c r="C60" s="164">
        <f t="shared" ref="C60:N60" si="134">+C145*1000</f>
        <v>174763567.37803242</v>
      </c>
      <c r="D60" s="135">
        <f t="shared" si="134"/>
        <v>174817099.98949161</v>
      </c>
      <c r="E60" s="135">
        <f t="shared" si="134"/>
        <v>174887682.05740276</v>
      </c>
      <c r="F60" s="135">
        <f t="shared" si="134"/>
        <v>174957283.51620677</v>
      </c>
      <c r="G60" s="135">
        <f t="shared" si="134"/>
        <v>175018642.48350349</v>
      </c>
      <c r="H60" s="135">
        <f t="shared" si="134"/>
        <v>175522849.88506073</v>
      </c>
      <c r="I60" s="135">
        <f t="shared" si="134"/>
        <v>175574800.39121938</v>
      </c>
      <c r="J60" s="135">
        <f t="shared" si="134"/>
        <v>175625284.14044592</v>
      </c>
      <c r="K60" s="135">
        <f t="shared" si="134"/>
        <v>175675255.75219131</v>
      </c>
      <c r="L60" s="135">
        <f t="shared" si="134"/>
        <v>175724001.20266727</v>
      </c>
      <c r="M60" s="135">
        <f t="shared" si="134"/>
        <v>175752196.1946995</v>
      </c>
      <c r="N60" s="165">
        <f t="shared" si="134"/>
        <v>175772162.89331758</v>
      </c>
    </row>
    <row r="61" spans="1:15" x14ac:dyDescent="0.25">
      <c r="A61" s="100" t="s">
        <v>136</v>
      </c>
      <c r="B61" s="160"/>
      <c r="C61" s="164">
        <f t="shared" ref="C61:N61" si="135">+C60</f>
        <v>174763567.37803242</v>
      </c>
      <c r="D61" s="135">
        <f t="shared" si="135"/>
        <v>174817099.98949161</v>
      </c>
      <c r="E61" s="135">
        <f t="shared" si="135"/>
        <v>174887682.05740276</v>
      </c>
      <c r="F61" s="135">
        <f t="shared" si="135"/>
        <v>174957283.51620677</v>
      </c>
      <c r="G61" s="135">
        <f t="shared" si="135"/>
        <v>175018642.48350349</v>
      </c>
      <c r="H61" s="135">
        <f t="shared" si="135"/>
        <v>175522849.88506073</v>
      </c>
      <c r="I61" s="135">
        <f t="shared" si="135"/>
        <v>175574800.39121938</v>
      </c>
      <c r="J61" s="135">
        <f t="shared" si="135"/>
        <v>175625284.14044592</v>
      </c>
      <c r="K61" s="135">
        <f t="shared" si="135"/>
        <v>175675255.75219131</v>
      </c>
      <c r="L61" s="135">
        <f t="shared" si="135"/>
        <v>175724001.20266727</v>
      </c>
      <c r="M61" s="135">
        <f t="shared" si="135"/>
        <v>175752196.1946995</v>
      </c>
      <c r="N61" s="165">
        <f t="shared" si="135"/>
        <v>175772162.89331758</v>
      </c>
    </row>
    <row r="62" spans="1:15" x14ac:dyDescent="0.25">
      <c r="A62" s="137" t="s">
        <v>87</v>
      </c>
      <c r="B62" s="140"/>
      <c r="C62" s="168">
        <f t="shared" ref="C62:N62" si="136">SUM(C61,C57,C59,C52,C44,C32)</f>
        <v>1869780764.5458581</v>
      </c>
      <c r="D62" s="169">
        <f t="shared" si="136"/>
        <v>2078472925.3754935</v>
      </c>
      <c r="E62" s="169">
        <f t="shared" si="136"/>
        <v>2415381740.8255758</v>
      </c>
      <c r="F62" s="169">
        <f t="shared" si="136"/>
        <v>2361574445.3338203</v>
      </c>
      <c r="G62" s="169">
        <f t="shared" si="136"/>
        <v>2064356078.0004382</v>
      </c>
      <c r="H62" s="169">
        <f t="shared" si="136"/>
        <v>2125217121.2469378</v>
      </c>
      <c r="I62" s="169">
        <f t="shared" si="136"/>
        <v>1889474202.0566959</v>
      </c>
      <c r="J62" s="169">
        <f t="shared" si="136"/>
        <v>1764612805.4811859</v>
      </c>
      <c r="K62" s="169">
        <f t="shared" si="136"/>
        <v>1681880950.0508685</v>
      </c>
      <c r="L62" s="169">
        <f t="shared" si="136"/>
        <v>1733065650.5846491</v>
      </c>
      <c r="M62" s="169">
        <f t="shared" si="136"/>
        <v>1753211829.6787419</v>
      </c>
      <c r="N62" s="170">
        <f t="shared" si="136"/>
        <v>1707561396.7511458</v>
      </c>
      <c r="O62" s="136">
        <f>ROUND(SUM(C62:N62)/1000,0)*1000</f>
        <v>23444590000</v>
      </c>
    </row>
    <row r="63" spans="1:15" x14ac:dyDescent="0.25">
      <c r="A63" s="4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  <row r="64" spans="1:15" ht="23.25" customHeight="1" thickBot="1" x14ac:dyDescent="0.3"/>
    <row r="65" spans="1:14" ht="13.5" thickBot="1" x14ac:dyDescent="0.35">
      <c r="A65" s="360" t="s">
        <v>137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2"/>
    </row>
    <row r="67" spans="1:14" x14ac:dyDescent="0.25">
      <c r="A67" s="100"/>
      <c r="B67" s="97"/>
      <c r="C67" s="161" t="s">
        <v>124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3"/>
    </row>
    <row r="68" spans="1:14" x14ac:dyDescent="0.25">
      <c r="A68" s="96" t="s">
        <v>127</v>
      </c>
      <c r="B68" s="96" t="s">
        <v>88</v>
      </c>
      <c r="C68" s="156" t="str">
        <f>+B5</f>
        <v>Sum of Oct 2014</v>
      </c>
      <c r="D68" s="156" t="str">
        <f t="shared" ref="D68:N68" si="137">+C5</f>
        <v>Sum of Nov 2014</v>
      </c>
      <c r="E68" s="156" t="str">
        <f t="shared" si="137"/>
        <v>Sum of Dec 2014</v>
      </c>
      <c r="F68" s="156" t="str">
        <f t="shared" si="137"/>
        <v>Sum of Jan 2015</v>
      </c>
      <c r="G68" s="156" t="str">
        <f t="shared" si="137"/>
        <v>Sum of Feb 2015</v>
      </c>
      <c r="H68" s="156" t="str">
        <f t="shared" si="137"/>
        <v>Sum of Mar 2015</v>
      </c>
      <c r="I68" s="156" t="str">
        <f t="shared" si="137"/>
        <v>Sum of Apr 2015</v>
      </c>
      <c r="J68" s="156" t="str">
        <f t="shared" si="137"/>
        <v>Sum of May 2015</v>
      </c>
      <c r="K68" s="156" t="str">
        <f t="shared" si="137"/>
        <v>Sum of Jun 2015</v>
      </c>
      <c r="L68" s="156" t="str">
        <f t="shared" si="137"/>
        <v>Sum of Jul 2015</v>
      </c>
      <c r="M68" s="156" t="str">
        <f t="shared" si="137"/>
        <v>Sum of Aug 2015</v>
      </c>
      <c r="N68" s="156" t="str">
        <f t="shared" si="137"/>
        <v>Sum of Sep 2015</v>
      </c>
    </row>
    <row r="69" spans="1:14" x14ac:dyDescent="0.25">
      <c r="A69" s="100" t="s">
        <v>128</v>
      </c>
      <c r="B69" s="158">
        <v>7</v>
      </c>
      <c r="C69" s="164">
        <f t="shared" ref="C69:N69" si="138">+C104</f>
        <v>120647.895774832</v>
      </c>
      <c r="D69" s="135">
        <f t="shared" si="138"/>
        <v>110487.13989095239</v>
      </c>
      <c r="E69" s="135">
        <f t="shared" si="138"/>
        <v>136113.50876999879</v>
      </c>
      <c r="F69" s="135">
        <f t="shared" si="138"/>
        <v>-39394.588823640486</v>
      </c>
      <c r="G69" s="135">
        <f t="shared" si="138"/>
        <v>-140564.00176698598</v>
      </c>
      <c r="H69" s="135">
        <f t="shared" si="138"/>
        <v>-38790.599406814552</v>
      </c>
      <c r="I69" s="135">
        <f t="shared" si="138"/>
        <v>-56811.1109488972</v>
      </c>
      <c r="J69" s="135">
        <f t="shared" si="138"/>
        <v>-63736.290333440178</v>
      </c>
      <c r="K69" s="135">
        <f t="shared" si="138"/>
        <v>-44238.296024841722</v>
      </c>
      <c r="L69" s="135">
        <f t="shared" si="138"/>
        <v>9894.9088039805647</v>
      </c>
      <c r="M69" s="135">
        <f t="shared" si="138"/>
        <v>8510.0115762978094</v>
      </c>
      <c r="N69" s="165">
        <f t="shared" si="138"/>
        <v>367.46606758935377</v>
      </c>
    </row>
    <row r="70" spans="1:14" x14ac:dyDescent="0.25">
      <c r="A70" s="100" t="s">
        <v>129</v>
      </c>
      <c r="B70" s="160"/>
      <c r="C70" s="164">
        <f t="shared" ref="C70:N70" si="139">+C69</f>
        <v>120647.895774832</v>
      </c>
      <c r="D70" s="135">
        <f t="shared" si="139"/>
        <v>110487.13989095239</v>
      </c>
      <c r="E70" s="135">
        <f t="shared" si="139"/>
        <v>136113.50876999879</v>
      </c>
      <c r="F70" s="135">
        <f t="shared" si="139"/>
        <v>-39394.588823640486</v>
      </c>
      <c r="G70" s="135">
        <f t="shared" si="139"/>
        <v>-140564.00176698598</v>
      </c>
      <c r="H70" s="135">
        <f t="shared" si="139"/>
        <v>-38790.599406814552</v>
      </c>
      <c r="I70" s="135">
        <f t="shared" si="139"/>
        <v>-56811.1109488972</v>
      </c>
      <c r="J70" s="135">
        <f t="shared" si="139"/>
        <v>-63736.290333440178</v>
      </c>
      <c r="K70" s="135">
        <f t="shared" si="139"/>
        <v>-44238.296024841722</v>
      </c>
      <c r="L70" s="135">
        <f t="shared" si="139"/>
        <v>9894.9088039805647</v>
      </c>
      <c r="M70" s="135">
        <f t="shared" si="139"/>
        <v>8510.0115762978094</v>
      </c>
      <c r="N70" s="165">
        <f t="shared" si="139"/>
        <v>367.46606758935377</v>
      </c>
    </row>
    <row r="71" spans="1:14" x14ac:dyDescent="0.25">
      <c r="A71" s="100" t="s">
        <v>130</v>
      </c>
      <c r="B71" s="158">
        <v>24</v>
      </c>
      <c r="C71" s="164">
        <f t="shared" ref="C71:N71" si="140">+C$105*C118/C$129</f>
        <v>5971.9939597269295</v>
      </c>
      <c r="D71" s="135">
        <f t="shared" si="140"/>
        <v>9007.9892772488656</v>
      </c>
      <c r="E71" s="135">
        <f t="shared" si="140"/>
        <v>10226.304379895402</v>
      </c>
      <c r="F71" s="135">
        <f t="shared" si="140"/>
        <v>-49.501823355004049</v>
      </c>
      <c r="G71" s="135">
        <f t="shared" si="140"/>
        <v>-19195.118113940956</v>
      </c>
      <c r="H71" s="135">
        <f t="shared" si="140"/>
        <v>-544.43001588293077</v>
      </c>
      <c r="I71" s="135">
        <f t="shared" si="140"/>
        <v>-434.51932459957862</v>
      </c>
      <c r="J71" s="135">
        <f t="shared" si="140"/>
        <v>-161.78183323710232</v>
      </c>
      <c r="K71" s="135">
        <f t="shared" si="140"/>
        <v>-5448.3989847775474</v>
      </c>
      <c r="L71" s="135">
        <f t="shared" si="140"/>
        <v>4804.3057460389282</v>
      </c>
      <c r="M71" s="135">
        <f t="shared" si="140"/>
        <v>3216.9014092376879</v>
      </c>
      <c r="N71" s="165">
        <f t="shared" si="140"/>
        <v>-7030.4506792113516</v>
      </c>
    </row>
    <row r="72" spans="1:14" x14ac:dyDescent="0.25">
      <c r="A72" s="99"/>
      <c r="B72" s="159">
        <v>25</v>
      </c>
      <c r="C72" s="166">
        <f t="shared" ref="C72:N72" si="141">+C$105*C119/C$129</f>
        <v>6870.8395644272632</v>
      </c>
      <c r="D72" s="139">
        <f t="shared" si="141"/>
        <v>9965.7400617374733</v>
      </c>
      <c r="E72" s="139">
        <f t="shared" si="141"/>
        <v>10595.177350692105</v>
      </c>
      <c r="F72" s="139">
        <f t="shared" si="141"/>
        <v>-51.581867128773133</v>
      </c>
      <c r="G72" s="139">
        <f t="shared" si="141"/>
        <v>-19675.56007502614</v>
      </c>
      <c r="H72" s="139">
        <f t="shared" si="141"/>
        <v>-577.43362876018068</v>
      </c>
      <c r="I72" s="139">
        <f t="shared" si="141"/>
        <v>-470.66084515492224</v>
      </c>
      <c r="J72" s="139">
        <f t="shared" si="141"/>
        <v>-185.32335023419773</v>
      </c>
      <c r="K72" s="139">
        <f t="shared" si="141"/>
        <v>-6391.4959443117041</v>
      </c>
      <c r="L72" s="139">
        <f t="shared" si="141"/>
        <v>5214.2942873303873</v>
      </c>
      <c r="M72" s="139">
        <f t="shared" si="141"/>
        <v>3624.3101946947477</v>
      </c>
      <c r="N72" s="167">
        <f t="shared" si="141"/>
        <v>-8107.4050811635598</v>
      </c>
    </row>
    <row r="73" spans="1:14" x14ac:dyDescent="0.25">
      <c r="A73" s="99"/>
      <c r="B73" s="159">
        <v>26</v>
      </c>
      <c r="C73" s="166">
        <f t="shared" ref="C73:N73" si="142">+C$105*C120/C$129</f>
        <v>4407.1151672474844</v>
      </c>
      <c r="D73" s="139">
        <f t="shared" si="142"/>
        <v>6331.9992616363361</v>
      </c>
      <c r="E73" s="139">
        <f t="shared" si="142"/>
        <v>6295.7843344397143</v>
      </c>
      <c r="F73" s="139">
        <f t="shared" si="142"/>
        <v>-24.452519015535042</v>
      </c>
      <c r="G73" s="139">
        <f t="shared" si="142"/>
        <v>-11524.504011104666</v>
      </c>
      <c r="H73" s="139">
        <f t="shared" si="142"/>
        <v>-336.1345045058801</v>
      </c>
      <c r="I73" s="139">
        <f t="shared" si="142"/>
        <v>-291.82676067035146</v>
      </c>
      <c r="J73" s="139">
        <f t="shared" si="142"/>
        <v>-107.32711151680964</v>
      </c>
      <c r="K73" s="139">
        <f t="shared" si="142"/>
        <v>-3894.260830562112</v>
      </c>
      <c r="L73" s="139">
        <f t="shared" si="142"/>
        <v>3484.9608774271674</v>
      </c>
      <c r="M73" s="139">
        <f t="shared" si="142"/>
        <v>2332.4389426269968</v>
      </c>
      <c r="N73" s="167">
        <f t="shared" si="142"/>
        <v>-5251.4788165308828</v>
      </c>
    </row>
    <row r="74" spans="1:14" x14ac:dyDescent="0.25">
      <c r="A74" s="99"/>
      <c r="B74" s="159">
        <v>29</v>
      </c>
      <c r="C74" s="166">
        <f t="shared" ref="C74:N74" si="143">+C$105*C121/C$129</f>
        <v>47.103421767017437</v>
      </c>
      <c r="D74" s="139">
        <f t="shared" si="143"/>
        <v>23.393534790293337</v>
      </c>
      <c r="E74" s="139">
        <f t="shared" si="143"/>
        <v>17.429543171541333</v>
      </c>
      <c r="F74" s="139">
        <f t="shared" si="143"/>
        <v>-7.5994983123283941E-2</v>
      </c>
      <c r="G74" s="139">
        <f t="shared" si="143"/>
        <v>-30.594013780071887</v>
      </c>
      <c r="H74" s="139">
        <f t="shared" si="143"/>
        <v>-0.86523328176258119</v>
      </c>
      <c r="I74" s="139">
        <f t="shared" si="143"/>
        <v>-0.81069704772014539</v>
      </c>
      <c r="J74" s="139">
        <f t="shared" si="143"/>
        <v>-0.65582058794637588</v>
      </c>
      <c r="K74" s="139">
        <f t="shared" si="143"/>
        <v>-35.759933695629307</v>
      </c>
      <c r="L74" s="139">
        <f t="shared" si="143"/>
        <v>41.459850660971071</v>
      </c>
      <c r="M74" s="139">
        <f t="shared" si="143"/>
        <v>60.023266526220553</v>
      </c>
      <c r="N74" s="167">
        <f t="shared" si="143"/>
        <v>-116.56035562166167</v>
      </c>
    </row>
    <row r="75" spans="1:14" x14ac:dyDescent="0.25">
      <c r="A75" s="99"/>
      <c r="B75" s="159">
        <v>31</v>
      </c>
      <c r="C75" s="166">
        <f t="shared" ref="C75:N75" si="144">+C$105*C122/C$129</f>
        <v>2506.1498652061896</v>
      </c>
      <c r="D75" s="139">
        <f t="shared" si="144"/>
        <v>3386.5076085220226</v>
      </c>
      <c r="E75" s="139">
        <f t="shared" si="144"/>
        <v>4606.3669212633986</v>
      </c>
      <c r="F75" s="139">
        <f t="shared" si="144"/>
        <v>-15.552675352438417</v>
      </c>
      <c r="G75" s="139">
        <f t="shared" si="144"/>
        <v>-6239.2357635445514</v>
      </c>
      <c r="H75" s="139">
        <f t="shared" si="144"/>
        <v>-183.65927259106115</v>
      </c>
      <c r="I75" s="139">
        <f t="shared" si="144"/>
        <v>-132.49239299460712</v>
      </c>
      <c r="J75" s="139">
        <f t="shared" si="144"/>
        <v>-53.128960530790863</v>
      </c>
      <c r="K75" s="139">
        <f t="shared" si="144"/>
        <v>-1817.8408516543798</v>
      </c>
      <c r="L75" s="139">
        <f t="shared" si="144"/>
        <v>1759.7430073363071</v>
      </c>
      <c r="M75" s="139">
        <f t="shared" si="144"/>
        <v>1134.0463149393825</v>
      </c>
      <c r="N75" s="167">
        <f t="shared" si="144"/>
        <v>-2537.6912067342873</v>
      </c>
    </row>
    <row r="76" spans="1:14" x14ac:dyDescent="0.25">
      <c r="A76" s="99"/>
      <c r="B76" s="159">
        <v>35</v>
      </c>
      <c r="C76" s="166">
        <f t="shared" ref="C76:N76" si="145">+C$105*C123/C$129</f>
        <v>20.200326261526438</v>
      </c>
      <c r="D76" s="139">
        <f t="shared" si="145"/>
        <v>12.114542358032695</v>
      </c>
      <c r="E76" s="139">
        <f t="shared" si="145"/>
        <v>0.22681504941927422</v>
      </c>
      <c r="F76" s="139">
        <f t="shared" si="145"/>
        <v>-6.0918070447367782E-4</v>
      </c>
      <c r="G76" s="139">
        <f t="shared" si="145"/>
        <v>-0.23801092274727353</v>
      </c>
      <c r="H76" s="139">
        <f t="shared" si="145"/>
        <v>-6.9684672856516489E-3</v>
      </c>
      <c r="I76" s="139">
        <f t="shared" si="145"/>
        <v>-6.264008262395912E-3</v>
      </c>
      <c r="J76" s="139">
        <f t="shared" si="145"/>
        <v>-0.25578809905650529</v>
      </c>
      <c r="K76" s="139">
        <f t="shared" si="145"/>
        <v>-21.368261678431637</v>
      </c>
      <c r="L76" s="139">
        <f t="shared" si="145"/>
        <v>15.254125792228708</v>
      </c>
      <c r="M76" s="139">
        <f t="shared" si="145"/>
        <v>15.267162172736326</v>
      </c>
      <c r="N76" s="167">
        <f t="shared" si="145"/>
        <v>-32.236892264544018</v>
      </c>
    </row>
    <row r="77" spans="1:14" x14ac:dyDescent="0.25">
      <c r="A77" s="99"/>
      <c r="B77" s="159">
        <v>40</v>
      </c>
      <c r="C77" s="166">
        <f t="shared" ref="C77" si="146">+C$105*C124/C$129</f>
        <v>1757.6723416060688</v>
      </c>
      <c r="D77" s="139">
        <f t="shared" ref="D77:N77" si="147">+D$105*D124/D$129</f>
        <v>2161.2731097955402</v>
      </c>
      <c r="E77" s="139">
        <f t="shared" si="147"/>
        <v>2256.2762960128816</v>
      </c>
      <c r="F77" s="139">
        <f t="shared" si="147"/>
        <v>-11.849514258056496</v>
      </c>
      <c r="G77" s="139">
        <f t="shared" si="147"/>
        <v>-4270.5044864359343</v>
      </c>
      <c r="H77" s="139">
        <f t="shared" si="147"/>
        <v>-123.33091259892089</v>
      </c>
      <c r="I77" s="139">
        <f t="shared" si="147"/>
        <v>-105.18534987975754</v>
      </c>
      <c r="J77" s="139">
        <f t="shared" si="147"/>
        <v>-47.399647471069265</v>
      </c>
      <c r="K77" s="139">
        <f t="shared" si="147"/>
        <v>-1211.7628163063494</v>
      </c>
      <c r="L77" s="139">
        <f t="shared" si="147"/>
        <v>1537.5530912117792</v>
      </c>
      <c r="M77" s="139">
        <f t="shared" si="147"/>
        <v>1000.5813378068239</v>
      </c>
      <c r="N77" s="167">
        <f t="shared" si="147"/>
        <v>-1838.1488399046266</v>
      </c>
    </row>
    <row r="78" spans="1:14" x14ac:dyDescent="0.25">
      <c r="A78" s="99"/>
      <c r="B78" s="159">
        <v>43</v>
      </c>
      <c r="C78" s="166">
        <f t="shared" ref="C78" si="148">+C$105*C125/C$129</f>
        <v>303.87036791285374</v>
      </c>
      <c r="D78" s="139">
        <f t="shared" ref="D78:N78" si="149">+D$105*D125/D$129</f>
        <v>554.52097757050319</v>
      </c>
      <c r="E78" s="139">
        <f t="shared" si="149"/>
        <v>725.08795726192295</v>
      </c>
      <c r="F78" s="139">
        <f t="shared" si="149"/>
        <v>-3.4945773043861288</v>
      </c>
      <c r="G78" s="139">
        <f t="shared" si="149"/>
        <v>-1404.5329717628206</v>
      </c>
      <c r="H78" s="139">
        <f t="shared" si="149"/>
        <v>-39.978421133522154</v>
      </c>
      <c r="I78" s="139">
        <f t="shared" si="149"/>
        <v>-26.771452423987824</v>
      </c>
      <c r="J78" s="139">
        <f t="shared" si="149"/>
        <v>-10.087769833649203</v>
      </c>
      <c r="K78" s="139">
        <f t="shared" si="149"/>
        <v>-272.3923531601701</v>
      </c>
      <c r="L78" s="139">
        <f t="shared" si="149"/>
        <v>166.77061893742228</v>
      </c>
      <c r="M78" s="139">
        <f t="shared" si="149"/>
        <v>84.131563759317487</v>
      </c>
      <c r="N78" s="167">
        <f t="shared" si="149"/>
        <v>-248.23787405996242</v>
      </c>
    </row>
    <row r="79" spans="1:14" x14ac:dyDescent="0.25">
      <c r="A79" s="99"/>
      <c r="B79" s="159">
        <v>46</v>
      </c>
      <c r="C79" s="166">
        <f t="shared" ref="C79" si="150">+C$105*C126/C$129</f>
        <v>0</v>
      </c>
      <c r="D79" s="139">
        <f t="shared" ref="D79:N79" si="151">+D$105*D126/D$129</f>
        <v>3.4893489978398799E-2</v>
      </c>
      <c r="E79" s="139">
        <f t="shared" si="151"/>
        <v>1.7597195213407177E-2</v>
      </c>
      <c r="F79" s="139">
        <f t="shared" si="151"/>
        <v>-8.3486410413165455E-5</v>
      </c>
      <c r="G79" s="139">
        <f t="shared" si="151"/>
        <v>-3.3617066056508438E-2</v>
      </c>
      <c r="H79" s="139">
        <f t="shared" si="151"/>
        <v>-1.0324634875285383E-3</v>
      </c>
      <c r="I79" s="139">
        <f t="shared" si="151"/>
        <v>-2.8491933848445506E-3</v>
      </c>
      <c r="J79" s="139">
        <f t="shared" si="151"/>
        <v>-1.4924604770795782E-3</v>
      </c>
      <c r="K79" s="139">
        <f t="shared" si="151"/>
        <v>-5.7144821475003875E-2</v>
      </c>
      <c r="L79" s="139">
        <f t="shared" si="151"/>
        <v>2.9662439677147334E-2</v>
      </c>
      <c r="M79" s="139">
        <f t="shared" si="151"/>
        <v>0</v>
      </c>
      <c r="N79" s="167">
        <f t="shared" si="151"/>
        <v>0</v>
      </c>
    </row>
    <row r="80" spans="1:14" x14ac:dyDescent="0.25">
      <c r="A80" s="99"/>
      <c r="B80" s="159">
        <v>49</v>
      </c>
      <c r="C80" s="166">
        <f t="shared" ref="C80" si="152">+C$105*C127/C$129</f>
        <v>1126.7565958294144</v>
      </c>
      <c r="D80" s="139">
        <f t="shared" ref="D80:N80" si="153">+D$105*D127/D$129</f>
        <v>1691.359884802665</v>
      </c>
      <c r="E80" s="139">
        <f t="shared" si="153"/>
        <v>1713.2126985802704</v>
      </c>
      <c r="F80" s="139">
        <f t="shared" si="153"/>
        <v>-7.5644743146106137</v>
      </c>
      <c r="G80" s="139">
        <f t="shared" si="153"/>
        <v>-3189.6222422126411</v>
      </c>
      <c r="H80" s="139">
        <f t="shared" si="153"/>
        <v>-86.307200163728211</v>
      </c>
      <c r="I80" s="139">
        <f t="shared" si="153"/>
        <v>-79.976695165551689</v>
      </c>
      <c r="J80" s="139">
        <f t="shared" si="153"/>
        <v>-29.6511973958089</v>
      </c>
      <c r="K80" s="139">
        <f t="shared" si="153"/>
        <v>-1003.0788939174122</v>
      </c>
      <c r="L80" s="139">
        <f t="shared" si="153"/>
        <v>1023.5699001160561</v>
      </c>
      <c r="M80" s="139">
        <f t="shared" si="153"/>
        <v>597.27684862774845</v>
      </c>
      <c r="N80" s="167">
        <f t="shared" si="153"/>
        <v>-1419.5199628253404</v>
      </c>
    </row>
    <row r="81" spans="1:14" x14ac:dyDescent="0.25">
      <c r="A81" s="99"/>
      <c r="B81" s="159" t="s">
        <v>77</v>
      </c>
      <c r="C81" s="166">
        <f t="shared" ref="C81:N81" si="154">+C$105*C128/C$129</f>
        <v>16.832447894836697</v>
      </c>
      <c r="D81" s="139">
        <f t="shared" si="154"/>
        <v>23.300662009321158</v>
      </c>
      <c r="E81" s="139">
        <f t="shared" si="154"/>
        <v>23.502668712903514</v>
      </c>
      <c r="F81" s="139">
        <f t="shared" si="154"/>
        <v>-0.10786385092323955</v>
      </c>
      <c r="G81" s="139">
        <f t="shared" si="154"/>
        <v>-44.818617368483118</v>
      </c>
      <c r="H81" s="139">
        <f t="shared" si="154"/>
        <v>-1.3068111802625859</v>
      </c>
      <c r="I81" s="139">
        <f t="shared" si="154"/>
        <v>-1.1460515737550088</v>
      </c>
      <c r="J81" s="139">
        <f t="shared" si="154"/>
        <v>-0.46811973472262491</v>
      </c>
      <c r="K81" s="139">
        <f t="shared" si="154"/>
        <v>-14.58104746528881</v>
      </c>
      <c r="L81" s="139">
        <f t="shared" si="154"/>
        <v>13.034791888414523</v>
      </c>
      <c r="M81" s="139">
        <f t="shared" si="154"/>
        <v>8.5590565419851465</v>
      </c>
      <c r="N81" s="167">
        <f t="shared" si="154"/>
        <v>-18.403364804163541</v>
      </c>
    </row>
    <row r="82" spans="1:14" x14ac:dyDescent="0.25">
      <c r="A82" s="100" t="s">
        <v>131</v>
      </c>
      <c r="B82" s="160"/>
      <c r="C82" s="164">
        <f t="shared" ref="C82:N82" si="155">SUM(C71:C81)</f>
        <v>23028.534057879584</v>
      </c>
      <c r="D82" s="135">
        <f t="shared" si="155"/>
        <v>33158.233813961037</v>
      </c>
      <c r="E82" s="135">
        <f t="shared" si="155"/>
        <v>36459.386562274769</v>
      </c>
      <c r="F82" s="135">
        <f t="shared" si="155"/>
        <v>-164.18200222996532</v>
      </c>
      <c r="G82" s="135">
        <f t="shared" si="155"/>
        <v>-65574.761923165075</v>
      </c>
      <c r="H82" s="135">
        <f t="shared" si="155"/>
        <v>-1893.4540010290223</v>
      </c>
      <c r="I82" s="135">
        <f t="shared" si="155"/>
        <v>-1543.3986827118788</v>
      </c>
      <c r="J82" s="135">
        <f t="shared" si="155"/>
        <v>-596.08109110163048</v>
      </c>
      <c r="K82" s="135">
        <f t="shared" si="155"/>
        <v>-20110.997062350503</v>
      </c>
      <c r="L82" s="135">
        <f t="shared" si="155"/>
        <v>18060.975959179341</v>
      </c>
      <c r="M82" s="135">
        <f t="shared" si="155"/>
        <v>12073.536096933647</v>
      </c>
      <c r="N82" s="165">
        <f t="shared" si="155"/>
        <v>-26600.133073120378</v>
      </c>
    </row>
    <row r="83" spans="1:14" x14ac:dyDescent="0.25">
      <c r="A83" s="100" t="s">
        <v>132</v>
      </c>
      <c r="B83" s="158">
        <v>24</v>
      </c>
      <c r="C83" s="164">
        <f t="shared" ref="C83:N83" si="156">+C$106*C130/C$137</f>
        <v>136.58298293954033</v>
      </c>
      <c r="D83" s="135">
        <f t="shared" si="156"/>
        <v>-343.33341571100556</v>
      </c>
      <c r="E83" s="135">
        <f t="shared" si="156"/>
        <v>-203.16328691256228</v>
      </c>
      <c r="F83" s="135">
        <f t="shared" si="156"/>
        <v>833.39456214629149</v>
      </c>
      <c r="G83" s="135">
        <f t="shared" si="156"/>
        <v>-528.7629670087498</v>
      </c>
      <c r="H83" s="135">
        <f t="shared" si="156"/>
        <v>20.836725765736826</v>
      </c>
      <c r="I83" s="135">
        <f t="shared" si="156"/>
        <v>-125.65927032240816</v>
      </c>
      <c r="J83" s="135">
        <f t="shared" si="156"/>
        <v>163.13252164884733</v>
      </c>
      <c r="K83" s="135">
        <f t="shared" si="156"/>
        <v>30.091919416903927</v>
      </c>
      <c r="L83" s="135">
        <f t="shared" si="156"/>
        <v>73.739571913875523</v>
      </c>
      <c r="M83" s="135">
        <f t="shared" si="156"/>
        <v>18.684627846650105</v>
      </c>
      <c r="N83" s="165">
        <f t="shared" si="156"/>
        <v>-224.44992924922838</v>
      </c>
    </row>
    <row r="84" spans="1:14" x14ac:dyDescent="0.25">
      <c r="A84" s="99"/>
      <c r="B84" s="159">
        <v>25</v>
      </c>
      <c r="C84" s="166">
        <f t="shared" ref="C84:N84" si="157">+C$106*C131/C$137</f>
        <v>299.32800269258342</v>
      </c>
      <c r="D84" s="139">
        <f t="shared" si="157"/>
        <v>-694.68779645500319</v>
      </c>
      <c r="E84" s="139">
        <f t="shared" si="157"/>
        <v>-381.51628211933388</v>
      </c>
      <c r="F84" s="139">
        <f t="shared" si="157"/>
        <v>1504.1079205127796</v>
      </c>
      <c r="G84" s="139">
        <f t="shared" si="157"/>
        <v>-997.86789644989517</v>
      </c>
      <c r="H84" s="139">
        <f t="shared" si="157"/>
        <v>41.732587383085253</v>
      </c>
      <c r="I84" s="139">
        <f t="shared" si="157"/>
        <v>-268.15198623586411</v>
      </c>
      <c r="J84" s="139">
        <f t="shared" si="157"/>
        <v>369.04683766318504</v>
      </c>
      <c r="K84" s="139">
        <f t="shared" si="157"/>
        <v>73.858050835462876</v>
      </c>
      <c r="L84" s="139">
        <f t="shared" si="157"/>
        <v>140.58152663560006</v>
      </c>
      <c r="M84" s="139">
        <f t="shared" si="157"/>
        <v>42.635530421288841</v>
      </c>
      <c r="N84" s="167">
        <f t="shared" si="157"/>
        <v>-493.56339140890555</v>
      </c>
    </row>
    <row r="85" spans="1:14" x14ac:dyDescent="0.25">
      <c r="A85" s="99"/>
      <c r="B85" s="159">
        <v>26</v>
      </c>
      <c r="C85" s="166">
        <f t="shared" ref="C85:N85" si="158">+C$106*C132/C$137</f>
        <v>420.72989707049061</v>
      </c>
      <c r="D85" s="139">
        <f t="shared" si="158"/>
        <v>-933.38419794029505</v>
      </c>
      <c r="E85" s="139">
        <f t="shared" si="158"/>
        <v>-475.4065447456253</v>
      </c>
      <c r="F85" s="139">
        <f t="shared" si="158"/>
        <v>1786.1359190267544</v>
      </c>
      <c r="G85" s="139">
        <f t="shared" si="158"/>
        <v>-1148.9155835676611</v>
      </c>
      <c r="H85" s="139">
        <f t="shared" si="158"/>
        <v>54.917260186699686</v>
      </c>
      <c r="I85" s="139">
        <f t="shared" si="158"/>
        <v>-374.76707185590203</v>
      </c>
      <c r="J85" s="139">
        <f t="shared" si="158"/>
        <v>373.14086678172441</v>
      </c>
      <c r="K85" s="139">
        <f t="shared" si="158"/>
        <v>81.291263366611631</v>
      </c>
      <c r="L85" s="139">
        <f t="shared" si="158"/>
        <v>263.530737453391</v>
      </c>
      <c r="M85" s="139">
        <f t="shared" si="158"/>
        <v>57.755040923726384</v>
      </c>
      <c r="N85" s="167">
        <f t="shared" si="158"/>
        <v>-669.03452865908298</v>
      </c>
    </row>
    <row r="86" spans="1:14" x14ac:dyDescent="0.25">
      <c r="A86" s="99"/>
      <c r="B86" s="159">
        <v>31</v>
      </c>
      <c r="C86" s="166">
        <f t="shared" ref="C86:N86" si="159">+C$106*C133/C$137</f>
        <v>719.1998963949402</v>
      </c>
      <c r="D86" s="139">
        <f t="shared" si="159"/>
        <v>-1658.0867783380368</v>
      </c>
      <c r="E86" s="139">
        <f t="shared" si="159"/>
        <v>-882.01550764128172</v>
      </c>
      <c r="F86" s="139">
        <f t="shared" si="159"/>
        <v>3528.9425940818505</v>
      </c>
      <c r="G86" s="139">
        <f t="shared" si="159"/>
        <v>-2351.6802522229045</v>
      </c>
      <c r="H86" s="139">
        <f t="shared" si="159"/>
        <v>95.862597267411061</v>
      </c>
      <c r="I86" s="139">
        <f t="shared" si="159"/>
        <v>-541.81502037415953</v>
      </c>
      <c r="J86" s="139">
        <f t="shared" si="159"/>
        <v>739.45812843074964</v>
      </c>
      <c r="K86" s="139">
        <f t="shared" si="159"/>
        <v>175.70902306843527</v>
      </c>
      <c r="L86" s="139">
        <f t="shared" si="159"/>
        <v>389.39687533347262</v>
      </c>
      <c r="M86" s="139">
        <f t="shared" si="159"/>
        <v>100.16843709174501</v>
      </c>
      <c r="N86" s="167">
        <f t="shared" si="159"/>
        <v>-1177.8458877429678</v>
      </c>
    </row>
    <row r="87" spans="1:14" x14ac:dyDescent="0.25">
      <c r="A87" s="99"/>
      <c r="B87" s="159">
        <v>40</v>
      </c>
      <c r="C87" s="166">
        <f t="shared" ref="C87:N87" si="160">+C$106*C134/C$137</f>
        <v>85.217845225091011</v>
      </c>
      <c r="D87" s="139">
        <f t="shared" si="160"/>
        <v>-186.2387378344275</v>
      </c>
      <c r="E87" s="139">
        <f t="shared" si="160"/>
        <v>-108.26798621925829</v>
      </c>
      <c r="F87" s="139">
        <f t="shared" si="160"/>
        <v>373.42169746804484</v>
      </c>
      <c r="G87" s="139">
        <f t="shared" si="160"/>
        <v>-260.24824877096341</v>
      </c>
      <c r="H87" s="139">
        <f t="shared" si="160"/>
        <v>10.588494863691917</v>
      </c>
      <c r="I87" s="139">
        <f t="shared" si="160"/>
        <v>-9.7173682084596802</v>
      </c>
      <c r="J87" s="139">
        <f t="shared" si="160"/>
        <v>109.65730451272962</v>
      </c>
      <c r="K87" s="139">
        <f t="shared" si="160"/>
        <v>33.227013626630949</v>
      </c>
      <c r="L87" s="139">
        <f t="shared" si="160"/>
        <v>41.891821053682335</v>
      </c>
      <c r="M87" s="139">
        <f t="shared" si="160"/>
        <v>12.984261715966348</v>
      </c>
      <c r="N87" s="167">
        <f t="shared" si="160"/>
        <v>-157.24789726978881</v>
      </c>
    </row>
    <row r="88" spans="1:14" x14ac:dyDescent="0.25">
      <c r="A88" s="99"/>
      <c r="B88" s="159">
        <v>46</v>
      </c>
      <c r="C88" s="166">
        <f t="shared" ref="C88:N88" si="161">+C$106*C135/C$137</f>
        <v>90.859589795884546</v>
      </c>
      <c r="D88" s="139">
        <f t="shared" si="161"/>
        <v>-218.64562964405962</v>
      </c>
      <c r="E88" s="139">
        <f t="shared" si="161"/>
        <v>-98.281822175804777</v>
      </c>
      <c r="F88" s="139">
        <f t="shared" si="161"/>
        <v>366.28362957600677</v>
      </c>
      <c r="G88" s="139">
        <f t="shared" si="161"/>
        <v>-255.63931671631767</v>
      </c>
      <c r="H88" s="139">
        <f t="shared" si="161"/>
        <v>10.056746457075974</v>
      </c>
      <c r="I88" s="139">
        <f t="shared" si="161"/>
        <v>-65.117590758187347</v>
      </c>
      <c r="J88" s="139">
        <f t="shared" si="161"/>
        <v>78.773162522733131</v>
      </c>
      <c r="K88" s="139">
        <f t="shared" si="161"/>
        <v>17.378125303627208</v>
      </c>
      <c r="L88" s="139">
        <f t="shared" si="161"/>
        <v>46.676987743246357</v>
      </c>
      <c r="M88" s="139">
        <f t="shared" si="161"/>
        <v>13.940130138984099</v>
      </c>
      <c r="N88" s="167">
        <f t="shared" si="161"/>
        <v>-149.64546815900763</v>
      </c>
    </row>
    <row r="89" spans="1:14" x14ac:dyDescent="0.25">
      <c r="A89" s="99"/>
      <c r="B89" s="159">
        <v>49</v>
      </c>
      <c r="C89" s="166">
        <f t="shared" ref="C89:N89" si="162">+C$106*C136/C$137</f>
        <v>171.31164138480389</v>
      </c>
      <c r="D89" s="139">
        <f t="shared" si="162"/>
        <v>-407.44767379604207</v>
      </c>
      <c r="E89" s="139">
        <f t="shared" si="162"/>
        <v>-217.22617274529858</v>
      </c>
      <c r="F89" s="139">
        <f t="shared" si="162"/>
        <v>931.66190777718225</v>
      </c>
      <c r="G89" s="139">
        <f t="shared" si="162"/>
        <v>-590.80731568347176</v>
      </c>
      <c r="H89" s="139">
        <f t="shared" si="162"/>
        <v>22.426039593472481</v>
      </c>
      <c r="I89" s="139">
        <f t="shared" si="162"/>
        <v>-155.22472917917096</v>
      </c>
      <c r="J89" s="139">
        <f t="shared" si="162"/>
        <v>210.62007558227563</v>
      </c>
      <c r="K89" s="139">
        <f t="shared" si="162"/>
        <v>32.980706289470596</v>
      </c>
      <c r="L89" s="139">
        <f t="shared" si="162"/>
        <v>126.93390158802039</v>
      </c>
      <c r="M89" s="139">
        <f t="shared" si="162"/>
        <v>23.994407162607576</v>
      </c>
      <c r="N89" s="167">
        <f t="shared" si="162"/>
        <v>-291.8407520669229</v>
      </c>
    </row>
    <row r="90" spans="1:14" x14ac:dyDescent="0.25">
      <c r="A90" s="100" t="s">
        <v>133</v>
      </c>
      <c r="B90" s="160"/>
      <c r="C90" s="164">
        <f t="shared" ref="C90:N90" si="163">SUM(C83:C89)</f>
        <v>1923.229855503334</v>
      </c>
      <c r="D90" s="135">
        <f t="shared" si="163"/>
        <v>-4441.8242297188699</v>
      </c>
      <c r="E90" s="135">
        <f t="shared" si="163"/>
        <v>-2365.8776025591646</v>
      </c>
      <c r="F90" s="135">
        <f t="shared" si="163"/>
        <v>9323.9482305889105</v>
      </c>
      <c r="G90" s="135">
        <f t="shared" si="163"/>
        <v>-6133.921580419963</v>
      </c>
      <c r="H90" s="135">
        <f t="shared" si="163"/>
        <v>256.42045151717321</v>
      </c>
      <c r="I90" s="135">
        <f t="shared" si="163"/>
        <v>-1540.4530369341517</v>
      </c>
      <c r="J90" s="135">
        <f t="shared" si="163"/>
        <v>2043.8288971422448</v>
      </c>
      <c r="K90" s="135">
        <f t="shared" si="163"/>
        <v>444.53610190714244</v>
      </c>
      <c r="L90" s="135">
        <f t="shared" si="163"/>
        <v>1082.7514217212884</v>
      </c>
      <c r="M90" s="135">
        <f t="shared" si="163"/>
        <v>270.16243530096835</v>
      </c>
      <c r="N90" s="165">
        <f t="shared" si="163"/>
        <v>-3163.6278545559035</v>
      </c>
    </row>
    <row r="91" spans="1:14" x14ac:dyDescent="0.25">
      <c r="A91" s="100" t="s">
        <v>77</v>
      </c>
      <c r="B91" s="158">
        <v>24</v>
      </c>
      <c r="C91" s="164">
        <f t="shared" ref="C91:N91" si="164">+C$107*C138/C$142</f>
        <v>36.390501587883371</v>
      </c>
      <c r="D91" s="135">
        <f t="shared" si="164"/>
        <v>127.67609848187568</v>
      </c>
      <c r="E91" s="135">
        <f t="shared" si="164"/>
        <v>29.032612271675049</v>
      </c>
      <c r="F91" s="135">
        <f t="shared" si="164"/>
        <v>-62.458798119124644</v>
      </c>
      <c r="G91" s="135">
        <f t="shared" si="164"/>
        <v>-157.5382268279067</v>
      </c>
      <c r="H91" s="135">
        <f t="shared" si="164"/>
        <v>41.661183667571628</v>
      </c>
      <c r="I91" s="135">
        <f t="shared" si="164"/>
        <v>-77.762024439810148</v>
      </c>
      <c r="J91" s="135">
        <f t="shared" si="164"/>
        <v>-0.71962375602984319</v>
      </c>
      <c r="K91" s="135">
        <f t="shared" si="164"/>
        <v>8.2766132360347378</v>
      </c>
      <c r="L91" s="135">
        <f t="shared" si="164"/>
        <v>-9.2683693346906146</v>
      </c>
      <c r="M91" s="135">
        <f t="shared" si="164"/>
        <v>47.205960764873531</v>
      </c>
      <c r="N91" s="165">
        <f t="shared" si="164"/>
        <v>3.9612360273310516</v>
      </c>
    </row>
    <row r="92" spans="1:14" x14ac:dyDescent="0.25">
      <c r="A92" s="99"/>
      <c r="B92" s="159">
        <v>25</v>
      </c>
      <c r="C92" s="166">
        <f t="shared" ref="C92:N92" si="165">+C$107*C139/C$142</f>
        <v>2.2348764072602116</v>
      </c>
      <c r="D92" s="139">
        <f t="shared" si="165"/>
        <v>7.0458332032161994</v>
      </c>
      <c r="E92" s="139">
        <f t="shared" si="165"/>
        <v>1.8888818064700994</v>
      </c>
      <c r="F92" s="139">
        <f t="shared" si="165"/>
        <v>-4.2866042864033371</v>
      </c>
      <c r="G92" s="139">
        <f t="shared" si="165"/>
        <v>-12.221250785361205</v>
      </c>
      <c r="H92" s="139">
        <f t="shared" si="165"/>
        <v>3.1775302426612142</v>
      </c>
      <c r="I92" s="139">
        <f t="shared" si="165"/>
        <v>-6.0686143381382154</v>
      </c>
      <c r="J92" s="139">
        <f t="shared" si="165"/>
        <v>-4.4948751201630582E-2</v>
      </c>
      <c r="K92" s="139">
        <f t="shared" si="165"/>
        <v>0.53536077137322879</v>
      </c>
      <c r="L92" s="139">
        <f t="shared" si="165"/>
        <v>-0.7268681220050377</v>
      </c>
      <c r="M92" s="139">
        <f t="shared" si="165"/>
        <v>3.7161325073680644</v>
      </c>
      <c r="N92" s="167">
        <f t="shared" si="165"/>
        <v>0.28430207860095769</v>
      </c>
    </row>
    <row r="93" spans="1:14" x14ac:dyDescent="0.25">
      <c r="A93" s="99"/>
      <c r="B93" s="159">
        <v>26</v>
      </c>
      <c r="C93" s="166">
        <f t="shared" ref="C93:N93" si="166">+C$107*C140/C$142</f>
        <v>0</v>
      </c>
      <c r="D93" s="139">
        <f t="shared" si="166"/>
        <v>0</v>
      </c>
      <c r="E93" s="139">
        <f t="shared" si="166"/>
        <v>0</v>
      </c>
      <c r="F93" s="139">
        <f t="shared" si="166"/>
        <v>0</v>
      </c>
      <c r="G93" s="139">
        <f t="shared" si="166"/>
        <v>0</v>
      </c>
      <c r="H93" s="139">
        <f t="shared" si="166"/>
        <v>0</v>
      </c>
      <c r="I93" s="139">
        <f t="shared" si="166"/>
        <v>0</v>
      </c>
      <c r="J93" s="139">
        <f t="shared" si="166"/>
        <v>0</v>
      </c>
      <c r="K93" s="139">
        <f t="shared" si="166"/>
        <v>0</v>
      </c>
      <c r="L93" s="139">
        <f t="shared" si="166"/>
        <v>0</v>
      </c>
      <c r="M93" s="139">
        <f t="shared" si="166"/>
        <v>0</v>
      </c>
      <c r="N93" s="167">
        <f t="shared" si="166"/>
        <v>0</v>
      </c>
    </row>
    <row r="94" spans="1:14" x14ac:dyDescent="0.25">
      <c r="A94" s="99"/>
      <c r="B94" s="159" t="s">
        <v>77</v>
      </c>
      <c r="C94" s="166">
        <f t="shared" ref="C94:N94" si="167">+C$107*C141/C$142</f>
        <v>169.77525233285579</v>
      </c>
      <c r="D94" s="139">
        <f t="shared" si="167"/>
        <v>502.92082090201762</v>
      </c>
      <c r="E94" s="139">
        <f t="shared" si="167"/>
        <v>106.89435116710291</v>
      </c>
      <c r="F94" s="139">
        <f t="shared" si="167"/>
        <v>-225.25891881443548</v>
      </c>
      <c r="G94" s="139">
        <f t="shared" si="167"/>
        <v>-635.66381769081397</v>
      </c>
      <c r="H94" s="139">
        <f t="shared" si="167"/>
        <v>189.41170432541594</v>
      </c>
      <c r="I94" s="139">
        <f t="shared" si="167"/>
        <v>-322.78988243858032</v>
      </c>
      <c r="J94" s="139">
        <f t="shared" si="167"/>
        <v>-3.8986834131948354</v>
      </c>
      <c r="K94" s="139">
        <f t="shared" si="167"/>
        <v>31.577397769810947</v>
      </c>
      <c r="L94" s="139">
        <f t="shared" si="167"/>
        <v>-76.169730694865308</v>
      </c>
      <c r="M94" s="139">
        <f t="shared" si="167"/>
        <v>281.72909867572105</v>
      </c>
      <c r="N94" s="167">
        <f t="shared" si="167"/>
        <v>21.129500796324159</v>
      </c>
    </row>
    <row r="95" spans="1:14" x14ac:dyDescent="0.25">
      <c r="A95" s="100" t="s">
        <v>134</v>
      </c>
      <c r="B95" s="160"/>
      <c r="C95" s="164">
        <f t="shared" ref="C95:N95" si="168">SUM(C91:C94)</f>
        <v>208.40063032799935</v>
      </c>
      <c r="D95" s="135">
        <f t="shared" si="168"/>
        <v>637.6427525871095</v>
      </c>
      <c r="E95" s="135">
        <f t="shared" si="168"/>
        <v>137.81584524524806</v>
      </c>
      <c r="F95" s="135">
        <f t="shared" si="168"/>
        <v>-292.00432121996346</v>
      </c>
      <c r="G95" s="135">
        <f t="shared" si="168"/>
        <v>-805.42329530408188</v>
      </c>
      <c r="H95" s="135">
        <f t="shared" si="168"/>
        <v>234.25041823564879</v>
      </c>
      <c r="I95" s="135">
        <f t="shared" si="168"/>
        <v>-406.62052121652869</v>
      </c>
      <c r="J95" s="135">
        <f t="shared" si="168"/>
        <v>-4.6632559204263089</v>
      </c>
      <c r="K95" s="135">
        <f t="shared" si="168"/>
        <v>40.389371777218912</v>
      </c>
      <c r="L95" s="135">
        <f t="shared" si="168"/>
        <v>-86.164968151560956</v>
      </c>
      <c r="M95" s="135">
        <f t="shared" si="168"/>
        <v>332.65119194796262</v>
      </c>
      <c r="N95" s="165">
        <f t="shared" si="168"/>
        <v>25.375038902256168</v>
      </c>
    </row>
    <row r="96" spans="1:14" x14ac:dyDescent="0.25">
      <c r="A96" s="100" t="s">
        <v>79</v>
      </c>
      <c r="B96" s="158" t="s">
        <v>79</v>
      </c>
      <c r="C96" s="164">
        <f t="shared" ref="C96:N96" si="169">+C108</f>
        <v>123.55521470792974</v>
      </c>
      <c r="D96" s="135">
        <f t="shared" si="169"/>
        <v>173.90238689424439</v>
      </c>
      <c r="E96" s="135">
        <f t="shared" si="169"/>
        <v>200.95211106810837</v>
      </c>
      <c r="F96" s="135">
        <f t="shared" si="169"/>
        <v>-106.7910311900838</v>
      </c>
      <c r="G96" s="135">
        <f t="shared" si="169"/>
        <v>-87.028682228878552</v>
      </c>
      <c r="H96" s="135">
        <f t="shared" si="169"/>
        <v>-44.950144548077901</v>
      </c>
      <c r="I96" s="135">
        <f t="shared" si="169"/>
        <v>-113.38126575698857</v>
      </c>
      <c r="J96" s="135">
        <f t="shared" si="169"/>
        <v>-84.858294276492359</v>
      </c>
      <c r="K96" s="135">
        <f t="shared" si="169"/>
        <v>-63.833150777081244</v>
      </c>
      <c r="L96" s="135">
        <f t="shared" si="169"/>
        <v>-18.699977040573742</v>
      </c>
      <c r="M96" s="135">
        <f t="shared" si="169"/>
        <v>-9.9715100713680727</v>
      </c>
      <c r="N96" s="165">
        <f t="shared" si="169"/>
        <v>32.450317880528985</v>
      </c>
    </row>
    <row r="97" spans="1:14" x14ac:dyDescent="0.25">
      <c r="A97" s="100" t="s">
        <v>135</v>
      </c>
      <c r="B97" s="160"/>
      <c r="C97" s="164">
        <f t="shared" ref="C97:N97" si="170">+C96</f>
        <v>123.55521470792974</v>
      </c>
      <c r="D97" s="135">
        <f t="shared" si="170"/>
        <v>173.90238689424439</v>
      </c>
      <c r="E97" s="135">
        <f t="shared" si="170"/>
        <v>200.95211106810837</v>
      </c>
      <c r="F97" s="135">
        <f t="shared" si="170"/>
        <v>-106.7910311900838</v>
      </c>
      <c r="G97" s="135">
        <f t="shared" si="170"/>
        <v>-87.028682228878552</v>
      </c>
      <c r="H97" s="135">
        <f t="shared" si="170"/>
        <v>-44.950144548077901</v>
      </c>
      <c r="I97" s="135">
        <f t="shared" si="170"/>
        <v>-113.38126575698857</v>
      </c>
      <c r="J97" s="135">
        <f t="shared" si="170"/>
        <v>-84.858294276492359</v>
      </c>
      <c r="K97" s="135">
        <f t="shared" si="170"/>
        <v>-63.833150777081244</v>
      </c>
      <c r="L97" s="135">
        <f t="shared" si="170"/>
        <v>-18.699977040573742</v>
      </c>
      <c r="M97" s="135">
        <f t="shared" si="170"/>
        <v>-9.9715100713680727</v>
      </c>
      <c r="N97" s="165">
        <f t="shared" si="170"/>
        <v>32.450317880528985</v>
      </c>
    </row>
    <row r="98" spans="1:14" x14ac:dyDescent="0.25">
      <c r="A98" s="100" t="s">
        <v>119</v>
      </c>
      <c r="B98" s="158">
        <v>449</v>
      </c>
      <c r="C98" s="164">
        <v>0</v>
      </c>
      <c r="D98" s="135">
        <v>0</v>
      </c>
      <c r="E98" s="135">
        <v>0</v>
      </c>
      <c r="F98" s="135">
        <v>0</v>
      </c>
      <c r="G98" s="135">
        <v>0</v>
      </c>
      <c r="H98" s="135">
        <v>0</v>
      </c>
      <c r="I98" s="135">
        <v>0</v>
      </c>
      <c r="J98" s="135">
        <v>0</v>
      </c>
      <c r="K98" s="135">
        <v>0</v>
      </c>
      <c r="L98" s="135">
        <v>0</v>
      </c>
      <c r="M98" s="135">
        <v>0</v>
      </c>
      <c r="N98" s="165">
        <v>0</v>
      </c>
    </row>
    <row r="99" spans="1:14" x14ac:dyDescent="0.25">
      <c r="A99" s="100" t="s">
        <v>136</v>
      </c>
      <c r="B99" s="160"/>
      <c r="C99" s="164">
        <f t="shared" ref="C99:N99" si="171">+C98</f>
        <v>0</v>
      </c>
      <c r="D99" s="135">
        <f t="shared" si="171"/>
        <v>0</v>
      </c>
      <c r="E99" s="135">
        <f t="shared" si="171"/>
        <v>0</v>
      </c>
      <c r="F99" s="135">
        <f t="shared" si="171"/>
        <v>0</v>
      </c>
      <c r="G99" s="135">
        <f t="shared" si="171"/>
        <v>0</v>
      </c>
      <c r="H99" s="135">
        <f t="shared" si="171"/>
        <v>0</v>
      </c>
      <c r="I99" s="135">
        <f t="shared" si="171"/>
        <v>0</v>
      </c>
      <c r="J99" s="135">
        <f t="shared" si="171"/>
        <v>0</v>
      </c>
      <c r="K99" s="135">
        <f t="shared" si="171"/>
        <v>0</v>
      </c>
      <c r="L99" s="135">
        <f t="shared" si="171"/>
        <v>0</v>
      </c>
      <c r="M99" s="135">
        <f t="shared" si="171"/>
        <v>0</v>
      </c>
      <c r="N99" s="165">
        <f t="shared" si="171"/>
        <v>0</v>
      </c>
    </row>
    <row r="100" spans="1:14" x14ac:dyDescent="0.25">
      <c r="A100" s="137" t="s">
        <v>87</v>
      </c>
      <c r="B100" s="171"/>
      <c r="C100" s="168">
        <f t="shared" ref="C100:N100" si="172">SUM(C99,C95,C97,C90,C82,C70)</f>
        <v>145931.61553325085</v>
      </c>
      <c r="D100" s="169">
        <f t="shared" si="172"/>
        <v>140015.09461467591</v>
      </c>
      <c r="E100" s="169">
        <f t="shared" si="172"/>
        <v>170545.78568602775</v>
      </c>
      <c r="F100" s="169">
        <f t="shared" si="172"/>
        <v>-30633.617947691586</v>
      </c>
      <c r="G100" s="169">
        <f t="shared" si="172"/>
        <v>-213165.13724810397</v>
      </c>
      <c r="H100" s="169">
        <f t="shared" si="172"/>
        <v>-40238.332682638829</v>
      </c>
      <c r="I100" s="169">
        <f t="shared" si="172"/>
        <v>-60414.964455516747</v>
      </c>
      <c r="J100" s="169">
        <f t="shared" si="172"/>
        <v>-62378.064077596486</v>
      </c>
      <c r="K100" s="169">
        <f t="shared" si="172"/>
        <v>-63928.200764284949</v>
      </c>
      <c r="L100" s="169">
        <f t="shared" si="172"/>
        <v>28933.77123968906</v>
      </c>
      <c r="M100" s="169">
        <f t="shared" si="172"/>
        <v>21176.389790409019</v>
      </c>
      <c r="N100" s="170">
        <f t="shared" si="172"/>
        <v>-29338.469503304143</v>
      </c>
    </row>
    <row r="101" spans="1:14" x14ac:dyDescent="0.25">
      <c r="A101" s="4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</row>
    <row r="102" spans="1:14" x14ac:dyDescent="0.25">
      <c r="A102" s="4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</row>
    <row r="103" spans="1:14" x14ac:dyDescent="0.25">
      <c r="A103" s="172" t="s">
        <v>138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4"/>
    </row>
    <row r="104" spans="1:14" x14ac:dyDescent="0.25">
      <c r="A104" s="175" t="s">
        <v>139</v>
      </c>
      <c r="B104" s="4"/>
      <c r="C104" s="191">
        <f>+'F2013 Unbilled Change Callib'!$E$7</f>
        <v>120647.895774832</v>
      </c>
      <c r="D104" s="191">
        <f>+'F2013 Unbilled Change Callib'!$E$8</f>
        <v>110487.13989095239</v>
      </c>
      <c r="E104" s="191">
        <f>+'F2013 Unbilled Change Callib'!$E$9</f>
        <v>136113.50876999879</v>
      </c>
      <c r="F104" s="191">
        <f>+'F2013 Unbilled Change Callib'!$E$10</f>
        <v>-39394.588823640486</v>
      </c>
      <c r="G104" s="191">
        <f>+'F2013 Unbilled Change Callib'!$E$11</f>
        <v>-140564.00176698598</v>
      </c>
      <c r="H104" s="191">
        <f>+'F2013 Unbilled Change Callib'!$E$12</f>
        <v>-38790.599406814552</v>
      </c>
      <c r="I104" s="191">
        <f>+'F2013 Unbilled Change Callib'!$E$13</f>
        <v>-56811.1109488972</v>
      </c>
      <c r="J104" s="191">
        <f>+'F2013 Unbilled Change Callib'!$E$14</f>
        <v>-63736.290333440178</v>
      </c>
      <c r="K104" s="191">
        <f>+'F2013 Unbilled Change Callib'!$E$15</f>
        <v>-44238.296024841722</v>
      </c>
      <c r="L104" s="191">
        <f>+'F2013 Unbilled Change Callib'!$E$16</f>
        <v>9894.9088039805647</v>
      </c>
      <c r="M104" s="191">
        <f>+'F2013 Unbilled Change Callib'!$E$17</f>
        <v>8510.0115762978094</v>
      </c>
      <c r="N104" s="191">
        <f>+'F2013 Unbilled Change Callib'!$E$18</f>
        <v>367.46606758935377</v>
      </c>
    </row>
    <row r="105" spans="1:14" x14ac:dyDescent="0.25">
      <c r="A105" s="175" t="s">
        <v>140</v>
      </c>
      <c r="B105" s="4"/>
      <c r="C105" s="191">
        <f>+'F2013 Unbilled Change Callib'!$F$7</f>
        <v>23028.534057879588</v>
      </c>
      <c r="D105" s="191">
        <f>+'F2013 Unbilled Change Callib'!$F$8</f>
        <v>33158.233813961037</v>
      </c>
      <c r="E105" s="191">
        <f>+'F2013 Unbilled Change Callib'!$F$9</f>
        <v>36459.386562274769</v>
      </c>
      <c r="F105" s="191">
        <f>+'F2013 Unbilled Change Callib'!$F$10</f>
        <v>-164.18200222996529</v>
      </c>
      <c r="G105" s="191">
        <f>+'F2013 Unbilled Change Callib'!$F$11</f>
        <v>-65574.761923165061</v>
      </c>
      <c r="H105" s="191">
        <f>+'F2013 Unbilled Change Callib'!$F$12</f>
        <v>-1893.454001029022</v>
      </c>
      <c r="I105" s="191">
        <f>+'F2013 Unbilled Change Callib'!$F$13</f>
        <v>-1543.3986827118788</v>
      </c>
      <c r="J105" s="191">
        <f>+'F2013 Unbilled Change Callib'!$F$14</f>
        <v>-596.08109110163059</v>
      </c>
      <c r="K105" s="191">
        <f>+'F2013 Unbilled Change Callib'!$F$15</f>
        <v>-20110.997062350507</v>
      </c>
      <c r="L105" s="191">
        <f>+'F2013 Unbilled Change Callib'!$F$16</f>
        <v>18060.975959179341</v>
      </c>
      <c r="M105" s="191">
        <f>+'F2013 Unbilled Change Callib'!$F$17</f>
        <v>12073.536096933647</v>
      </c>
      <c r="N105" s="191">
        <f>+'F2013 Unbilled Change Callib'!$F$18</f>
        <v>-26600.133073120378</v>
      </c>
    </row>
    <row r="106" spans="1:14" x14ac:dyDescent="0.25">
      <c r="A106" s="175" t="s">
        <v>141</v>
      </c>
      <c r="B106" s="4"/>
      <c r="C106" s="191">
        <f>+'F2013 Unbilled Change Callib'!$G$7</f>
        <v>1923.229855503334</v>
      </c>
      <c r="D106" s="191">
        <f>+'F2013 Unbilled Change Callib'!$G$8</f>
        <v>-4441.8242297188699</v>
      </c>
      <c r="E106" s="191">
        <f>+'F2013 Unbilled Change Callib'!$G$9</f>
        <v>-2365.8776025591651</v>
      </c>
      <c r="F106" s="191">
        <f>+'F2013 Unbilled Change Callib'!$G$10</f>
        <v>9323.9482305889105</v>
      </c>
      <c r="G106" s="191">
        <f>+'F2013 Unbilled Change Callib'!$G$11</f>
        <v>-6133.921580419963</v>
      </c>
      <c r="H106" s="191">
        <f>+'F2013 Unbilled Change Callib'!$G$12</f>
        <v>256.42045151717321</v>
      </c>
      <c r="I106" s="191">
        <f>+'F2013 Unbilled Change Callib'!$G$13</f>
        <v>-1540.4530369341519</v>
      </c>
      <c r="J106" s="191">
        <f>+'F2013 Unbilled Change Callib'!$G$14</f>
        <v>2043.8288971422444</v>
      </c>
      <c r="K106" s="191">
        <f>+'F2013 Unbilled Change Callib'!$G$15</f>
        <v>444.53610190714244</v>
      </c>
      <c r="L106" s="191">
        <f>+'F2013 Unbilled Change Callib'!$G$16</f>
        <v>1082.7514217212884</v>
      </c>
      <c r="M106" s="191">
        <f>+'F2013 Unbilled Change Callib'!$G$17</f>
        <v>270.16243530096835</v>
      </c>
      <c r="N106" s="191">
        <f>+'F2013 Unbilled Change Callib'!$G$18</f>
        <v>-3163.6278545559035</v>
      </c>
    </row>
    <row r="107" spans="1:14" x14ac:dyDescent="0.25">
      <c r="A107" s="175" t="s">
        <v>142</v>
      </c>
      <c r="B107" s="4"/>
      <c r="C107" s="191">
        <f>+'F2013 Unbilled Change Callib'!$H$7</f>
        <v>208.40063032799935</v>
      </c>
      <c r="D107" s="191">
        <f>+'F2013 Unbilled Change Callib'!$H$8</f>
        <v>637.6427525871095</v>
      </c>
      <c r="E107" s="191">
        <f>+'F2013 Unbilled Change Callib'!$H$9</f>
        <v>137.81584524524806</v>
      </c>
      <c r="F107" s="191">
        <f>+'F2013 Unbilled Change Callib'!$H$10</f>
        <v>-292.00432121996346</v>
      </c>
      <c r="G107" s="191">
        <f>+'F2013 Unbilled Change Callib'!$H$11</f>
        <v>-805.42329530408188</v>
      </c>
      <c r="H107" s="191">
        <f>+'F2013 Unbilled Change Callib'!$H$12</f>
        <v>234.25041823564879</v>
      </c>
      <c r="I107" s="191">
        <f>+'F2013 Unbilled Change Callib'!$H$13</f>
        <v>-406.62052121652869</v>
      </c>
      <c r="J107" s="191">
        <f>+'F2013 Unbilled Change Callib'!$H$14</f>
        <v>-4.6632559204263089</v>
      </c>
      <c r="K107" s="191">
        <f>+'F2013 Unbilled Change Callib'!$H$15</f>
        <v>40.389371777218912</v>
      </c>
      <c r="L107" s="191">
        <f>+'F2013 Unbilled Change Callib'!$H$16</f>
        <v>-86.16496815156097</v>
      </c>
      <c r="M107" s="191">
        <f>+'F2013 Unbilled Change Callib'!$H$17</f>
        <v>332.65119194796262</v>
      </c>
      <c r="N107" s="191">
        <f>+'F2013 Unbilled Change Callib'!$H$18</f>
        <v>25.375038902256165</v>
      </c>
    </row>
    <row r="108" spans="1:14" x14ac:dyDescent="0.25">
      <c r="A108" s="175" t="s">
        <v>143</v>
      </c>
      <c r="B108" s="4"/>
      <c r="C108" s="191">
        <f>+'F2013 Unbilled Change Callib'!$I$7</f>
        <v>123.55521470792974</v>
      </c>
      <c r="D108" s="191">
        <f>+'F2013 Unbilled Change Callib'!$I$8</f>
        <v>173.90238689424439</v>
      </c>
      <c r="E108" s="191">
        <f>+'F2013 Unbilled Change Callib'!$I$9</f>
        <v>200.95211106810837</v>
      </c>
      <c r="F108" s="191">
        <f>+'F2013 Unbilled Change Callib'!$I$10</f>
        <v>-106.7910311900838</v>
      </c>
      <c r="G108" s="191">
        <f>+'F2013 Unbilled Change Callib'!$I$11</f>
        <v>-87.028682228878552</v>
      </c>
      <c r="H108" s="191">
        <f>+'F2013 Unbilled Change Callib'!$I$12</f>
        <v>-44.950144548077901</v>
      </c>
      <c r="I108" s="191">
        <f>+'F2013 Unbilled Change Callib'!$I$13</f>
        <v>-113.38126575698857</v>
      </c>
      <c r="J108" s="191">
        <f>+'F2013 Unbilled Change Callib'!$I$14</f>
        <v>-84.858294276492359</v>
      </c>
      <c r="K108" s="191">
        <f>+'F2013 Unbilled Change Callib'!$I$15</f>
        <v>-63.833150777081244</v>
      </c>
      <c r="L108" s="191">
        <f>+'F2013 Unbilled Change Callib'!$I$16</f>
        <v>-18.699977040573742</v>
      </c>
      <c r="M108" s="191">
        <f>+'F2013 Unbilled Change Callib'!$I$17</f>
        <v>-9.9715100713680727</v>
      </c>
      <c r="N108" s="191">
        <f>+'F2013 Unbilled Change Callib'!$I$18</f>
        <v>32.450317880528985</v>
      </c>
    </row>
    <row r="109" spans="1:14" x14ac:dyDescent="0.25">
      <c r="A109" s="176" t="s">
        <v>78</v>
      </c>
      <c r="B109" s="4"/>
      <c r="C109" s="141">
        <f t="shared" ref="C109:N109" si="173">SUM(C104:C108)</f>
        <v>145931.61553325085</v>
      </c>
      <c r="D109" s="141">
        <f t="shared" si="173"/>
        <v>140015.09461467588</v>
      </c>
      <c r="E109" s="141">
        <f t="shared" si="173"/>
        <v>170545.78568602775</v>
      </c>
      <c r="F109" s="141">
        <f t="shared" si="173"/>
        <v>-30633.61794769159</v>
      </c>
      <c r="G109" s="141">
        <f t="shared" si="173"/>
        <v>-213165.13724810397</v>
      </c>
      <c r="H109" s="141">
        <f t="shared" si="173"/>
        <v>-40238.332682638829</v>
      </c>
      <c r="I109" s="141">
        <f t="shared" si="173"/>
        <v>-60414.964455516747</v>
      </c>
      <c r="J109" s="141">
        <f t="shared" si="173"/>
        <v>-62378.064077596486</v>
      </c>
      <c r="K109" s="141">
        <f t="shared" si="173"/>
        <v>-63928.200764284949</v>
      </c>
      <c r="L109" s="141">
        <f t="shared" si="173"/>
        <v>28933.771239689057</v>
      </c>
      <c r="M109" s="141">
        <f t="shared" si="173"/>
        <v>21176.389790409019</v>
      </c>
      <c r="N109" s="177">
        <f t="shared" si="173"/>
        <v>-29338.469503304143</v>
      </c>
    </row>
    <row r="110" spans="1:14" ht="15" customHeight="1" x14ac:dyDescent="0.25">
      <c r="A110" s="178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1"/>
    </row>
    <row r="111" spans="1:14" ht="13" thickBot="1" x14ac:dyDescent="0.3"/>
    <row r="112" spans="1:14" ht="13.5" thickBot="1" x14ac:dyDescent="0.35">
      <c r="A112" s="360" t="s">
        <v>144</v>
      </c>
      <c r="B112" s="361"/>
      <c r="C112" s="361"/>
      <c r="D112" s="361"/>
      <c r="E112" s="361"/>
      <c r="F112" s="361"/>
      <c r="G112" s="361"/>
      <c r="H112" s="361"/>
      <c r="I112" s="361"/>
      <c r="J112" s="361"/>
      <c r="K112" s="361"/>
      <c r="L112" s="361"/>
      <c r="M112" s="361"/>
      <c r="N112" s="362"/>
    </row>
    <row r="114" spans="1:14" x14ac:dyDescent="0.25">
      <c r="A114" s="100"/>
      <c r="B114" s="97"/>
      <c r="C114" s="100" t="s">
        <v>124</v>
      </c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8"/>
    </row>
    <row r="115" spans="1:14" x14ac:dyDescent="0.25">
      <c r="A115" s="182" t="s">
        <v>127</v>
      </c>
      <c r="B115" s="161" t="s">
        <v>88</v>
      </c>
      <c r="C115" s="156" t="str">
        <f>+B5</f>
        <v>Sum of Oct 2014</v>
      </c>
      <c r="D115" s="156" t="str">
        <f t="shared" ref="D115:N115" si="174">+C5</f>
        <v>Sum of Nov 2014</v>
      </c>
      <c r="E115" s="156" t="str">
        <f t="shared" si="174"/>
        <v>Sum of Dec 2014</v>
      </c>
      <c r="F115" s="156" t="str">
        <f t="shared" si="174"/>
        <v>Sum of Jan 2015</v>
      </c>
      <c r="G115" s="156" t="str">
        <f t="shared" si="174"/>
        <v>Sum of Feb 2015</v>
      </c>
      <c r="H115" s="156" t="str">
        <f t="shared" si="174"/>
        <v>Sum of Mar 2015</v>
      </c>
      <c r="I115" s="156" t="str">
        <f t="shared" si="174"/>
        <v>Sum of Apr 2015</v>
      </c>
      <c r="J115" s="156" t="str">
        <f t="shared" si="174"/>
        <v>Sum of May 2015</v>
      </c>
      <c r="K115" s="156" t="str">
        <f t="shared" si="174"/>
        <v>Sum of Jun 2015</v>
      </c>
      <c r="L115" s="156" t="str">
        <f t="shared" si="174"/>
        <v>Sum of Jul 2015</v>
      </c>
      <c r="M115" s="156" t="str">
        <f t="shared" si="174"/>
        <v>Sum of Aug 2015</v>
      </c>
      <c r="N115" s="156" t="str">
        <f t="shared" si="174"/>
        <v>Sum of Sep 2015</v>
      </c>
    </row>
    <row r="116" spans="1:14" x14ac:dyDescent="0.25">
      <c r="A116" s="183" t="s">
        <v>128</v>
      </c>
      <c r="B116" s="179">
        <v>7</v>
      </c>
      <c r="C116" s="187">
        <f>+'F2013 Sch Sales Callib'!$G$8</f>
        <v>710071.56410593877</v>
      </c>
      <c r="D116" s="187">
        <f>+'F2013 Sch Sales Callib'!$G$9</f>
        <v>905081.45344494644</v>
      </c>
      <c r="E116" s="187">
        <f>+'F2013 Sch Sales Callib'!$G$10</f>
        <v>1143817.0405273305</v>
      </c>
      <c r="F116" s="187">
        <f>+'F2013 Sch Sales Callib'!$G$11</f>
        <v>1279925.7083288205</v>
      </c>
      <c r="G116" s="187">
        <f>+'F2013 Sch Sales Callib'!$G$12</f>
        <v>1171175.1914525784</v>
      </c>
      <c r="H116" s="187">
        <f>+'F2013 Sch Sales Callib'!$G$13</f>
        <v>1072134.0116722053</v>
      </c>
      <c r="I116" s="187">
        <f>+'F2013 Sch Sales Callib'!$G$14</f>
        <v>927156.55995732092</v>
      </c>
      <c r="J116" s="187">
        <f>+'F2013 Sch Sales Callib'!$G$15</f>
        <v>808510.95420359063</v>
      </c>
      <c r="K116" s="187">
        <f>+'F2013 Sch Sales Callib'!$G$16</f>
        <v>714583.11826063949</v>
      </c>
      <c r="L116" s="187">
        <f>+'F2013 Sch Sales Callib'!$G$17</f>
        <v>669823.30264759704</v>
      </c>
      <c r="M116" s="187">
        <f>+'F2013 Sch Sales Callib'!$G$18</f>
        <v>672050.79271619115</v>
      </c>
      <c r="N116" s="187">
        <f>+'F2013 Sch Sales Callib'!$G$19</f>
        <v>681783.82654950162</v>
      </c>
    </row>
    <row r="117" spans="1:14" x14ac:dyDescent="0.25">
      <c r="A117" s="183" t="s">
        <v>129</v>
      </c>
      <c r="B117" s="179"/>
      <c r="C117" s="187">
        <f>SUM(C116)</f>
        <v>710071.56410593877</v>
      </c>
      <c r="D117" s="187">
        <f t="shared" ref="D117:N117" si="175">SUM(D116)</f>
        <v>905081.45344494644</v>
      </c>
      <c r="E117" s="187">
        <f t="shared" si="175"/>
        <v>1143817.0405273305</v>
      </c>
      <c r="F117" s="187">
        <f t="shared" si="175"/>
        <v>1279925.7083288205</v>
      </c>
      <c r="G117" s="187">
        <f t="shared" si="175"/>
        <v>1171175.1914525784</v>
      </c>
      <c r="H117" s="187">
        <f t="shared" si="175"/>
        <v>1072134.0116722053</v>
      </c>
      <c r="I117" s="187">
        <f t="shared" si="175"/>
        <v>927156.55995732092</v>
      </c>
      <c r="J117" s="187">
        <f t="shared" si="175"/>
        <v>808510.95420359063</v>
      </c>
      <c r="K117" s="187">
        <f t="shared" si="175"/>
        <v>714583.11826063949</v>
      </c>
      <c r="L117" s="187">
        <f t="shared" si="175"/>
        <v>669823.30264759704</v>
      </c>
      <c r="M117" s="187">
        <f t="shared" si="175"/>
        <v>672050.79271619115</v>
      </c>
      <c r="N117" s="187">
        <f t="shared" si="175"/>
        <v>681783.82654950162</v>
      </c>
    </row>
    <row r="118" spans="1:14" x14ac:dyDescent="0.25">
      <c r="A118" s="183" t="s">
        <v>130</v>
      </c>
      <c r="B118" s="179">
        <v>24</v>
      </c>
      <c r="C118" s="187">
        <f>SUM('F2013 Sch Sales Callib'!$I$8,'F2013 Sch Sales Callib'!$M$8)</f>
        <v>189915.50583281447</v>
      </c>
      <c r="D118" s="187">
        <f>SUM('F2013 Sch Sales Callib'!$I$9,'F2013 Sch Sales Callib'!$M$9)</f>
        <v>203909.00647854377</v>
      </c>
      <c r="E118" s="187">
        <f>SUM('F2013 Sch Sales Callib'!$I$10,'F2013 Sch Sales Callib'!$M$10)</f>
        <v>229636.5919002044</v>
      </c>
      <c r="F118" s="187">
        <f>SUM('F2013 Sch Sales Callib'!$I$11,'F2013 Sch Sales Callib'!$M$11)</f>
        <v>250581.81403084024</v>
      </c>
      <c r="G118" s="187">
        <f>SUM('F2013 Sch Sales Callib'!$I$12,'F2013 Sch Sales Callib'!$M$12)</f>
        <v>240654.53327223138</v>
      </c>
      <c r="H118" s="187">
        <f>SUM('F2013 Sch Sales Callib'!$I$13,'F2013 Sch Sales Callib'!$M$13)</f>
        <v>232035.09675255057</v>
      </c>
      <c r="I118" s="187">
        <f>SUM('F2013 Sch Sales Callib'!$I$14,'F2013 Sch Sales Callib'!$M$14)</f>
        <v>208999.99063093308</v>
      </c>
      <c r="J118" s="187">
        <f>SUM('F2013 Sch Sales Callib'!$I$15,'F2013 Sch Sales Callib'!$M$15)</f>
        <v>200232.2758769145</v>
      </c>
      <c r="K118" s="187">
        <f>SUM('F2013 Sch Sales Callib'!$I$16,'F2013 Sch Sales Callib'!$M$16)</f>
        <v>203015.99308154732</v>
      </c>
      <c r="L118" s="187">
        <f>SUM('F2013 Sch Sales Callib'!$I$17,'F2013 Sch Sales Callib'!$M$17)</f>
        <v>199823.74318301026</v>
      </c>
      <c r="M118" s="187">
        <f>SUM('F2013 Sch Sales Callib'!$I$18,'F2013 Sch Sales Callib'!$M$18)</f>
        <v>206465.37595726745</v>
      </c>
      <c r="N118" s="187">
        <f>SUM('F2013 Sch Sales Callib'!$I$19,'F2013 Sch Sales Callib'!$M$19)</f>
        <v>204376.31910843731</v>
      </c>
    </row>
    <row r="119" spans="1:14" x14ac:dyDescent="0.25">
      <c r="A119" s="184"/>
      <c r="B119" s="180">
        <v>25</v>
      </c>
      <c r="C119" s="188">
        <f>SUM('F2013 Sch Sales Callib'!$K$8,'F2013 Sch Sales Callib'!$N$8)</f>
        <v>218499.71386005625</v>
      </c>
      <c r="D119" s="188">
        <f>SUM('F2013 Sch Sales Callib'!$K$9,'F2013 Sch Sales Callib'!$N$9)</f>
        <v>225589.095664747</v>
      </c>
      <c r="E119" s="188">
        <f>SUM('F2013 Sch Sales Callib'!$K$10,'F2013 Sch Sales Callib'!$N$10)</f>
        <v>237919.81218302617</v>
      </c>
      <c r="F119" s="188">
        <f>SUM('F2013 Sch Sales Callib'!$K$11,'F2013 Sch Sales Callib'!$N$11)</f>
        <v>261111.14622041752</v>
      </c>
      <c r="G119" s="188">
        <f>SUM('F2013 Sch Sales Callib'!$K$12,'F2013 Sch Sales Callib'!$N$12)</f>
        <v>246677.96773213072</v>
      </c>
      <c r="H119" s="188">
        <f>SUM('F2013 Sch Sales Callib'!$K$13,'F2013 Sch Sales Callib'!$N$13)</f>
        <v>246101.1773942232</v>
      </c>
      <c r="I119" s="188">
        <f>SUM('F2013 Sch Sales Callib'!$K$14,'F2013 Sch Sales Callib'!$N$14)</f>
        <v>226383.74557535429</v>
      </c>
      <c r="J119" s="188">
        <f>SUM('F2013 Sch Sales Callib'!$K$15,'F2013 Sch Sales Callib'!$N$15)</f>
        <v>229368.8694709253</v>
      </c>
      <c r="K119" s="188">
        <f>SUM('F2013 Sch Sales Callib'!$K$16,'F2013 Sch Sales Callib'!$N$16)</f>
        <v>238157.28254051521</v>
      </c>
      <c r="L119" s="188">
        <f>SUM('F2013 Sch Sales Callib'!$K$17,'F2013 Sch Sales Callib'!$N$17)</f>
        <v>216876.24760584964</v>
      </c>
      <c r="M119" s="188">
        <f>SUM('F2013 Sch Sales Callib'!$K$18,'F2013 Sch Sales Callib'!$N$18)</f>
        <v>232613.45989174483</v>
      </c>
      <c r="N119" s="188">
        <f>SUM('F2013 Sch Sales Callib'!$K$19,'F2013 Sch Sales Callib'!$N$19)</f>
        <v>235683.55481232412</v>
      </c>
    </row>
    <row r="120" spans="1:14" x14ac:dyDescent="0.25">
      <c r="A120" s="184"/>
      <c r="B120" s="180">
        <v>26</v>
      </c>
      <c r="C120" s="188">
        <f>SUM('F2013 Sch Sales Callib'!$L$8,'F2013 Sch Sales Callib'!$O$8)</f>
        <v>140150.7623576943</v>
      </c>
      <c r="D120" s="188">
        <f>SUM('F2013 Sch Sales Callib'!$L$9,'F2013 Sch Sales Callib'!$O$9)</f>
        <v>143334.06032400046</v>
      </c>
      <c r="E120" s="188">
        <f>SUM('F2013 Sch Sales Callib'!$L$10,'F2013 Sch Sales Callib'!$O$10)</f>
        <v>141374.87054871136</v>
      </c>
      <c r="F120" s="188">
        <f>SUM('F2013 Sch Sales Callib'!$L$11,'F2013 Sch Sales Callib'!$O$11)</f>
        <v>123780.42175525204</v>
      </c>
      <c r="G120" s="188">
        <f>SUM('F2013 Sch Sales Callib'!$L$12,'F2013 Sch Sales Callib'!$O$12)</f>
        <v>144485.91134076324</v>
      </c>
      <c r="H120" s="188">
        <f>SUM('F2013 Sch Sales Callib'!$L$13,'F2013 Sch Sales Callib'!$O$13)</f>
        <v>143259.92322154378</v>
      </c>
      <c r="I120" s="188">
        <f>SUM('F2013 Sch Sales Callib'!$L$14,'F2013 Sch Sales Callib'!$O$14)</f>
        <v>140366.11674789054</v>
      </c>
      <c r="J120" s="188">
        <f>SUM('F2013 Sch Sales Callib'!$L$15,'F2013 Sch Sales Callib'!$O$15)</f>
        <v>132835.3831348333</v>
      </c>
      <c r="K120" s="188">
        <f>SUM('F2013 Sch Sales Callib'!$L$16,'F2013 Sch Sales Callib'!$O$16)</f>
        <v>145106.33895278463</v>
      </c>
      <c r="L120" s="188">
        <f>SUM('F2013 Sch Sales Callib'!$L$17,'F2013 Sch Sales Callib'!$O$17)</f>
        <v>144948.71146533432</v>
      </c>
      <c r="M120" s="188">
        <f>SUM('F2013 Sch Sales Callib'!$L$18,'F2013 Sch Sales Callib'!$O$18)</f>
        <v>149699.29815193554</v>
      </c>
      <c r="N120" s="188">
        <f>SUM('F2013 Sch Sales Callib'!$L$19,'F2013 Sch Sales Callib'!$O$19)</f>
        <v>152661.32419819644</v>
      </c>
    </row>
    <row r="121" spans="1:14" x14ac:dyDescent="0.25">
      <c r="A121" s="184"/>
      <c r="B121" s="180">
        <v>29</v>
      </c>
      <c r="C121" s="188">
        <f>+'F2013 Sch Sales Callib'!$P$8</f>
        <v>1497.9369087889299</v>
      </c>
      <c r="D121" s="188">
        <f>+'F2013 Sch Sales Callib'!$P$9</f>
        <v>529.54686004764187</v>
      </c>
      <c r="E121" s="188">
        <f>+'F2013 Sch Sales Callib'!$P$10</f>
        <v>391.38878949847663</v>
      </c>
      <c r="F121" s="188">
        <f>+'F2013 Sch Sales Callib'!$P$11</f>
        <v>384.69210703024663</v>
      </c>
      <c r="G121" s="188">
        <f>+'F2013 Sch Sales Callib'!$P$12</f>
        <v>383.56565786485794</v>
      </c>
      <c r="H121" s="188">
        <f>+'F2013 Sch Sales Callib'!$P$13</f>
        <v>368.76087355638725</v>
      </c>
      <c r="I121" s="188">
        <f>+'F2013 Sch Sales Callib'!$P$14</f>
        <v>389.93818176941858</v>
      </c>
      <c r="J121" s="188">
        <f>+'F2013 Sch Sales Callib'!$P$15</f>
        <v>811.68847122028694</v>
      </c>
      <c r="K121" s="188">
        <f>+'F2013 Sch Sales Callib'!$P$16</f>
        <v>1332.4718824799652</v>
      </c>
      <c r="L121" s="188">
        <f>+'F2013 Sch Sales Callib'!$P$17</f>
        <v>1724.4245035225765</v>
      </c>
      <c r="M121" s="188">
        <f>+'F2013 Sch Sales Callib'!$P$18</f>
        <v>3852.3798876559631</v>
      </c>
      <c r="N121" s="188">
        <f>+'F2013 Sch Sales Callib'!$P$19</f>
        <v>3388.4280713847406</v>
      </c>
    </row>
    <row r="122" spans="1:14" x14ac:dyDescent="0.25">
      <c r="A122" s="184"/>
      <c r="B122" s="180">
        <v>31</v>
      </c>
      <c r="C122" s="188">
        <f>SUM('F2013 Sch Sales Callib'!$J$8,'F2013 Sch Sales Callib'!$Q$8)</f>
        <v>79698.124705611132</v>
      </c>
      <c r="D122" s="188">
        <f>SUM('F2013 Sch Sales Callib'!$J$9,'F2013 Sch Sales Callib'!$Q$9)</f>
        <v>76658.550607939091</v>
      </c>
      <c r="E122" s="188">
        <f>SUM('F2013 Sch Sales Callib'!$J$10,'F2013 Sch Sales Callib'!$Q$10)</f>
        <v>103438.18857185077</v>
      </c>
      <c r="F122" s="188">
        <f>SUM('F2013 Sch Sales Callib'!$J$11,'F2013 Sch Sales Callib'!$Q$11)</f>
        <v>78728.768734390338</v>
      </c>
      <c r="G122" s="188">
        <f>SUM('F2013 Sch Sales Callib'!$J$12,'F2013 Sch Sales Callib'!$Q$12)</f>
        <v>78223.033676501538</v>
      </c>
      <c r="H122" s="188">
        <f>SUM('F2013 Sch Sales Callib'!$J$13,'F2013 Sch Sales Callib'!$Q$13)</f>
        <v>78275.25272657552</v>
      </c>
      <c r="I122" s="188">
        <f>SUM('F2013 Sch Sales Callib'!$J$14,'F2013 Sch Sales Callib'!$Q$14)</f>
        <v>63727.680972671842</v>
      </c>
      <c r="J122" s="188">
        <f>SUM('F2013 Sch Sales Callib'!$J$15,'F2013 Sch Sales Callib'!$Q$15)</f>
        <v>65756.039903838333</v>
      </c>
      <c r="K122" s="188">
        <f>SUM('F2013 Sch Sales Callib'!$J$16,'F2013 Sch Sales Callib'!$Q$16)</f>
        <v>67735.635146016677</v>
      </c>
      <c r="L122" s="188">
        <f>SUM('F2013 Sch Sales Callib'!$J$17,'F2013 Sch Sales Callib'!$Q$17)</f>
        <v>73192.351476795273</v>
      </c>
      <c r="M122" s="188">
        <f>SUM('F2013 Sch Sales Callib'!$J$18,'F2013 Sch Sales Callib'!$Q$18)</f>
        <v>72784.729458773814</v>
      </c>
      <c r="N122" s="188">
        <f>SUM('F2013 Sch Sales Callib'!$J$19,'F2013 Sch Sales Callib'!$Q$19)</f>
        <v>73771.086880646675</v>
      </c>
    </row>
    <row r="123" spans="1:14" x14ac:dyDescent="0.25">
      <c r="A123" s="184"/>
      <c r="B123" s="180">
        <v>35</v>
      </c>
      <c r="C123" s="188">
        <f>+'F2013 Sch Sales Callib'!$R$8</f>
        <v>642.39100136683612</v>
      </c>
      <c r="D123" s="188">
        <f>+'F2013 Sch Sales Callib'!$R$9</f>
        <v>274.2303770729095</v>
      </c>
      <c r="E123" s="188">
        <f>+'F2013 Sch Sales Callib'!$R$10</f>
        <v>5.0932412145599866</v>
      </c>
      <c r="F123" s="188">
        <f>+'F2013 Sch Sales Callib'!$R$11</f>
        <v>3.0837168341228041</v>
      </c>
      <c r="G123" s="188">
        <f>+'F2013 Sch Sales Callib'!$R$12</f>
        <v>2.9840091208315247</v>
      </c>
      <c r="H123" s="188">
        <f>+'F2013 Sch Sales Callib'!$R$13</f>
        <v>2.9699482645550046</v>
      </c>
      <c r="I123" s="188">
        <f>+'F2013 Sch Sales Callib'!$R$14</f>
        <v>3.01293312871476</v>
      </c>
      <c r="J123" s="188">
        <f>+'F2013 Sch Sales Callib'!$R$15</f>
        <v>316.5808681451374</v>
      </c>
      <c r="K123" s="188">
        <f>+'F2013 Sch Sales Callib'!$R$16</f>
        <v>796.21534274445025</v>
      </c>
      <c r="L123" s="188">
        <f>+'F2013 Sch Sales Callib'!$R$17</f>
        <v>634.45931127526194</v>
      </c>
      <c r="M123" s="188">
        <f>+'F2013 Sch Sales Callib'!$R$18</f>
        <v>979.86850599239938</v>
      </c>
      <c r="N123" s="188">
        <f>+'F2013 Sch Sales Callib'!$R$19</f>
        <v>937.13158389752482</v>
      </c>
    </row>
    <row r="124" spans="1:14" x14ac:dyDescent="0.25">
      <c r="A124" s="184"/>
      <c r="B124" s="180">
        <v>40</v>
      </c>
      <c r="C124" s="188">
        <f>+'F2013 Sch Sales Callib'!$S$8</f>
        <v>55895.775195949376</v>
      </c>
      <c r="D124" s="188">
        <f>+'F2013 Sch Sales Callib'!$S$9</f>
        <v>48923.576503389952</v>
      </c>
      <c r="E124" s="188">
        <f>+'F2013 Sch Sales Callib'!$S$10</f>
        <v>50665.771304463597</v>
      </c>
      <c r="F124" s="188">
        <f>+'F2013 Sch Sales Callib'!$S$11</f>
        <v>59983.099145133696</v>
      </c>
      <c r="G124" s="188">
        <f>+'F2013 Sch Sales Callib'!$S$12</f>
        <v>53540.50222143744</v>
      </c>
      <c r="H124" s="188">
        <f>+'F2013 Sch Sales Callib'!$S$13</f>
        <v>52563.413850467281</v>
      </c>
      <c r="I124" s="188">
        <f>+'F2013 Sch Sales Callib'!$S$14</f>
        <v>50593.232325488287</v>
      </c>
      <c r="J124" s="188">
        <f>+'F2013 Sch Sales Callib'!$S$15</f>
        <v>58665.049709172323</v>
      </c>
      <c r="K124" s="188">
        <f>+'F2013 Sch Sales Callib'!$S$16</f>
        <v>45152.20566978545</v>
      </c>
      <c r="L124" s="188">
        <f>+'F2013 Sch Sales Callib'!$S$17</f>
        <v>63950.887031255283</v>
      </c>
      <c r="M124" s="188">
        <f>+'F2013 Sch Sales Callib'!$S$18</f>
        <v>64218.754573229598</v>
      </c>
      <c r="N124" s="188">
        <f>+'F2013 Sch Sales Callib'!$S$19</f>
        <v>53435.279047472592</v>
      </c>
    </row>
    <row r="125" spans="1:14" x14ac:dyDescent="0.25">
      <c r="A125" s="184"/>
      <c r="B125" s="180">
        <v>43</v>
      </c>
      <c r="C125" s="188">
        <f>+'F2013 Sch Sales Callib'!$T$8</f>
        <v>9663.3879771056963</v>
      </c>
      <c r="D125" s="188">
        <f>+'F2013 Sch Sales Callib'!$T$9</f>
        <v>12552.393006671684</v>
      </c>
      <c r="E125" s="188">
        <f>+'F2013 Sch Sales Callib'!$T$10</f>
        <v>16282.199428843142</v>
      </c>
      <c r="F125" s="188">
        <f>+'F2013 Sch Sales Callib'!$T$11</f>
        <v>17689.803341669416</v>
      </c>
      <c r="G125" s="188">
        <f>+'F2013 Sch Sales Callib'!$T$12</f>
        <v>17609.020417517258</v>
      </c>
      <c r="H125" s="188">
        <f>+'F2013 Sch Sales Callib'!$T$13</f>
        <v>17038.73141653846</v>
      </c>
      <c r="I125" s="188">
        <f>+'F2013 Sch Sales Callib'!$T$14</f>
        <v>12876.834214326567</v>
      </c>
      <c r="J125" s="188">
        <f>+'F2013 Sch Sales Callib'!$T$15</f>
        <v>12485.314771738096</v>
      </c>
      <c r="K125" s="188">
        <f>+'F2013 Sch Sales Callib'!$T$16</f>
        <v>10149.771380388238</v>
      </c>
      <c r="L125" s="188">
        <f>+'F2013 Sch Sales Callib'!$T$17</f>
        <v>6936.4297550169094</v>
      </c>
      <c r="M125" s="188">
        <f>+'F2013 Sch Sales Callib'!$T$18</f>
        <v>5399.6852037677299</v>
      </c>
      <c r="N125" s="188">
        <f>+'F2013 Sch Sales Callib'!$T$19</f>
        <v>7216.3144695255996</v>
      </c>
    </row>
    <row r="126" spans="1:14" x14ac:dyDescent="0.25">
      <c r="A126" s="184"/>
      <c r="B126" s="180">
        <v>46</v>
      </c>
      <c r="C126" s="188">
        <f>+'F2013 Sch Sales Callib'!$U$8</f>
        <v>0</v>
      </c>
      <c r="D126" s="188">
        <f>+'F2013 Sch Sales Callib'!$U$9</f>
        <v>0.78986515803639457</v>
      </c>
      <c r="E126" s="188">
        <f>+'F2013 Sch Sales Callib'!$U$10</f>
        <v>0.39515349687359363</v>
      </c>
      <c r="F126" s="188">
        <f>+'F2013 Sch Sales Callib'!$U$11</f>
        <v>0.42261425439270095</v>
      </c>
      <c r="G126" s="188">
        <f>+'F2013 Sch Sales Callib'!$U$12</f>
        <v>0.42146650485756393</v>
      </c>
      <c r="H126" s="188">
        <f>+'F2013 Sch Sales Callib'!$U$13</f>
        <v>0.44003408745500655</v>
      </c>
      <c r="I126" s="188">
        <f>+'F2013 Sch Sales Callib'!$U$14</f>
        <v>1.3704370715548262</v>
      </c>
      <c r="J126" s="188">
        <f>+'F2013 Sch Sales Callib'!$U$15</f>
        <v>1.8471712923664363</v>
      </c>
      <c r="K126" s="188">
        <f>+'F2013 Sch Sales Callib'!$U$16</f>
        <v>2.1293067401320855</v>
      </c>
      <c r="L126" s="188">
        <f>+'F2013 Sch Sales Callib'!$U$17</f>
        <v>1.2337390752274149</v>
      </c>
      <c r="M126" s="188">
        <f>+'F2013 Sch Sales Callib'!$U$18</f>
        <v>0</v>
      </c>
      <c r="N126" s="188">
        <f>+'F2013 Sch Sales Callib'!$U$19</f>
        <v>0</v>
      </c>
    </row>
    <row r="127" spans="1:14" x14ac:dyDescent="0.25">
      <c r="A127" s="184"/>
      <c r="B127" s="180">
        <v>49</v>
      </c>
      <c r="C127" s="188">
        <f>+'F2013 Sch Sales Callib'!$V$8</f>
        <v>35832.010261642659</v>
      </c>
      <c r="D127" s="188">
        <f>+'F2013 Sch Sales Callib'!$V$9</f>
        <v>38286.403668223138</v>
      </c>
      <c r="E127" s="188">
        <f>+'F2013 Sch Sales Callib'!$V$10</f>
        <v>38471.01657521262</v>
      </c>
      <c r="F127" s="188">
        <f>+'F2013 Sch Sales Callib'!$V$11</f>
        <v>38291.916690644684</v>
      </c>
      <c r="G127" s="188">
        <f>+'F2013 Sch Sales Callib'!$V$12</f>
        <v>39989.180970807567</v>
      </c>
      <c r="H127" s="188">
        <f>+'F2013 Sch Sales Callib'!$V$13</f>
        <v>36783.97398415795</v>
      </c>
      <c r="I127" s="188">
        <f>+'F2013 Sch Sales Callib'!$V$14</f>
        <v>38468.090126248673</v>
      </c>
      <c r="J127" s="188">
        <f>+'F2013 Sch Sales Callib'!$V$15</f>
        <v>36698.352455539258</v>
      </c>
      <c r="K127" s="188">
        <f>+'F2013 Sch Sales Callib'!$V$16</f>
        <v>37376.311528715611</v>
      </c>
      <c r="L127" s="188">
        <f>+'F2013 Sch Sales Callib'!$V$17</f>
        <v>42572.970927024129</v>
      </c>
      <c r="M127" s="188">
        <f>+'F2013 Sch Sales Callib'!$V$18</f>
        <v>38334.090298316776</v>
      </c>
      <c r="N127" s="188">
        <f>+'F2013 Sch Sales Callib'!$V$19</f>
        <v>41265.671027470031</v>
      </c>
    </row>
    <row r="128" spans="1:14" x14ac:dyDescent="0.25">
      <c r="A128" s="184"/>
      <c r="B128" s="180" t="s">
        <v>77</v>
      </c>
      <c r="C128" s="188">
        <f>SUM('F2013 Sch Sales Callib'!$W$8:$Z$8)</f>
        <v>535.2890304159946</v>
      </c>
      <c r="D128" s="188">
        <f>SUM('F2013 Sch Sales Callib'!$W$9:$Z$9)</f>
        <v>527.44454887540655</v>
      </c>
      <c r="E128" s="188">
        <f>SUM('F2013 Sch Sales Callib'!$W$10:$Z$10)</f>
        <v>527.7637495712728</v>
      </c>
      <c r="F128" s="188">
        <f>SUM('F2013 Sch Sales Callib'!$W$11:$Z$11)</f>
        <v>546.01462331720768</v>
      </c>
      <c r="G128" s="188">
        <f>SUM('F2013 Sch Sales Callib'!$W$12:$Z$12)</f>
        <v>561.90346840770701</v>
      </c>
      <c r="H128" s="188">
        <f>SUM('F2013 Sch Sales Callib'!$W$13:$Z$13)</f>
        <v>556.96058226654952</v>
      </c>
      <c r="I128" s="188">
        <f>SUM('F2013 Sch Sales Callib'!$W$14:$Z$14)</f>
        <v>551.24077254352608</v>
      </c>
      <c r="J128" s="188">
        <f>SUM('F2013 Sch Sales Callib'!$W$15:$Z$15)</f>
        <v>579.37704123451874</v>
      </c>
      <c r="K128" s="188">
        <f>SUM('F2013 Sch Sales Callib'!$W$16:$Z$16)</f>
        <v>543.31296948063857</v>
      </c>
      <c r="L128" s="188">
        <f>SUM('F2013 Sch Sales Callib'!$W$17:$Z$17)</f>
        <v>542.15136264007117</v>
      </c>
      <c r="M128" s="188">
        <f>SUM('F2013 Sch Sales Callib'!$W$18:$Z$18)</f>
        <v>549.33260363712407</v>
      </c>
      <c r="N128" s="188">
        <f>SUM('F2013 Sch Sales Callib'!$W$19:$Z$19)</f>
        <v>534.98874104990239</v>
      </c>
    </row>
    <row r="129" spans="1:14" x14ac:dyDescent="0.25">
      <c r="A129" s="183" t="s">
        <v>131</v>
      </c>
      <c r="B129" s="179"/>
      <c r="C129" s="187">
        <f>SUM(C118:C128)</f>
        <v>732330.8971314457</v>
      </c>
      <c r="D129" s="187">
        <f t="shared" ref="D129:N129" si="176">SUM(D118:D128)</f>
        <v>750585.09790466924</v>
      </c>
      <c r="E129" s="187">
        <f t="shared" si="176"/>
        <v>818713.09144609317</v>
      </c>
      <c r="F129" s="187">
        <f t="shared" si="176"/>
        <v>831101.18297978386</v>
      </c>
      <c r="G129" s="187">
        <f t="shared" si="176"/>
        <v>822129.02423328732</v>
      </c>
      <c r="H129" s="187">
        <f t="shared" si="176"/>
        <v>806986.70078423154</v>
      </c>
      <c r="I129" s="187">
        <f t="shared" si="176"/>
        <v>742361.25291742641</v>
      </c>
      <c r="J129" s="187">
        <f t="shared" si="176"/>
        <v>737750.77887485351</v>
      </c>
      <c r="K129" s="187">
        <f t="shared" si="176"/>
        <v>749367.66780119855</v>
      </c>
      <c r="L129" s="187">
        <f t="shared" si="176"/>
        <v>751203.61036079901</v>
      </c>
      <c r="M129" s="187">
        <f t="shared" si="176"/>
        <v>774896.97453232121</v>
      </c>
      <c r="N129" s="187">
        <f t="shared" si="176"/>
        <v>773270.0979404049</v>
      </c>
    </row>
    <row r="130" spans="1:14" x14ac:dyDescent="0.25">
      <c r="A130" s="183" t="s">
        <v>132</v>
      </c>
      <c r="B130" s="179">
        <v>24</v>
      </c>
      <c r="C130" s="187">
        <f>SUM('F2013 Sch Sales Callib'!$AD$8)</f>
        <v>7027.7249990941673</v>
      </c>
      <c r="D130" s="187">
        <f>SUM('F2013 Sch Sales Callib'!$AD$9)</f>
        <v>7719.1483952138042</v>
      </c>
      <c r="E130" s="187">
        <f>SUM('F2013 Sch Sales Callib'!$AD$10)</f>
        <v>8457.9443611909373</v>
      </c>
      <c r="F130" s="187">
        <f>SUM('F2013 Sch Sales Callib'!$AD$11)</f>
        <v>8665.0392453567256</v>
      </c>
      <c r="G130" s="187">
        <f>SUM('F2013 Sch Sales Callib'!$AD$12)</f>
        <v>8638.3016319600629</v>
      </c>
      <c r="H130" s="187">
        <f>SUM('F2013 Sch Sales Callib'!$AD$13)</f>
        <v>8298.0667201742908</v>
      </c>
      <c r="I130" s="187">
        <f>SUM('F2013 Sch Sales Callib'!$AD$14)</f>
        <v>7880.5024069023157</v>
      </c>
      <c r="J130" s="187">
        <f>SUM('F2013 Sch Sales Callib'!$AD$15)</f>
        <v>7759.8986125860411</v>
      </c>
      <c r="K130" s="187">
        <f>SUM('F2013 Sch Sales Callib'!$AD$16)</f>
        <v>6675.2881493089144</v>
      </c>
      <c r="L130" s="187">
        <f>SUM('F2013 Sch Sales Callib'!$AD$17)</f>
        <v>6810.8325863222926</v>
      </c>
      <c r="M130" s="187">
        <f>SUM('F2013 Sch Sales Callib'!$AD$18)</f>
        <v>7053.506259391319</v>
      </c>
      <c r="N130" s="187">
        <f>SUM('F2013 Sch Sales Callib'!$AD$19)</f>
        <v>6986.1247607065807</v>
      </c>
    </row>
    <row r="131" spans="1:14" x14ac:dyDescent="0.25">
      <c r="A131" s="184"/>
      <c r="B131" s="180">
        <v>25</v>
      </c>
      <c r="C131" s="188">
        <f>+'F2013 Sch Sales Callib'!$AE$8</f>
        <v>15401.58841297799</v>
      </c>
      <c r="D131" s="188">
        <f>+'F2013 Sch Sales Callib'!$AE$9</f>
        <v>15618.631755010847</v>
      </c>
      <c r="E131" s="188">
        <f>+'F2013 Sch Sales Callib'!$AE$10</f>
        <v>15883.004927177242</v>
      </c>
      <c r="F131" s="188">
        <f>+'F2013 Sch Sales Callib'!$AE$11</f>
        <v>15638.63595045552</v>
      </c>
      <c r="G131" s="188">
        <f>+'F2013 Sch Sales Callib'!$AE$12</f>
        <v>16301.981069413747</v>
      </c>
      <c r="H131" s="188">
        <f>+'F2013 Sch Sales Callib'!$AE$13</f>
        <v>16619.683841104648</v>
      </c>
      <c r="I131" s="188">
        <f>+'F2013 Sch Sales Callib'!$AE$14</f>
        <v>16816.685052567373</v>
      </c>
      <c r="J131" s="188">
        <f>+'F2013 Sch Sales Callib'!$AE$15</f>
        <v>17554.844457846644</v>
      </c>
      <c r="K131" s="188">
        <f>+'F2013 Sch Sales Callib'!$AE$16</f>
        <v>16383.925685912478</v>
      </c>
      <c r="L131" s="188">
        <f>+'F2013 Sch Sales Callib'!$AE$17</f>
        <v>12984.578263662423</v>
      </c>
      <c r="M131" s="188">
        <f>+'F2013 Sch Sales Callib'!$AE$18</f>
        <v>16095.047927483694</v>
      </c>
      <c r="N131" s="188">
        <f>+'F2013 Sch Sales Callib'!$AE$19</f>
        <v>15362.426004025674</v>
      </c>
    </row>
    <row r="132" spans="1:14" x14ac:dyDescent="0.25">
      <c r="A132" s="184"/>
      <c r="B132" s="180">
        <v>26</v>
      </c>
      <c r="C132" s="188">
        <f>+'F2013 Sch Sales Callib'!$AF$8</f>
        <v>21648.187437943456</v>
      </c>
      <c r="D132" s="188">
        <f>+'F2013 Sch Sales Callib'!$AF$9</f>
        <v>20985.231276507518</v>
      </c>
      <c r="E132" s="188">
        <f>+'F2013 Sch Sales Callib'!$AF$10</f>
        <v>19791.775204616944</v>
      </c>
      <c r="F132" s="188">
        <f>+'F2013 Sch Sales Callib'!$AF$11</f>
        <v>18570.960909619371</v>
      </c>
      <c r="G132" s="188">
        <f>+'F2013 Sch Sales Callib'!$AF$12</f>
        <v>18769.618864689979</v>
      </c>
      <c r="H132" s="188">
        <f>+'F2013 Sch Sales Callib'!$AF$13</f>
        <v>21870.378976132317</v>
      </c>
      <c r="I132" s="188">
        <f>+'F2013 Sch Sales Callib'!$AF$14</f>
        <v>23502.864565508411</v>
      </c>
      <c r="J132" s="188">
        <f>+'F2013 Sch Sales Callib'!$AF$15</f>
        <v>17749.589506569828</v>
      </c>
      <c r="K132" s="188">
        <f>+'F2013 Sch Sales Callib'!$AF$16</f>
        <v>18032.834644926865</v>
      </c>
      <c r="L132" s="188">
        <f>+'F2013 Sch Sales Callib'!$AF$17</f>
        <v>24340.577081752243</v>
      </c>
      <c r="M132" s="188">
        <f>+'F2013 Sch Sales Callib'!$AF$18</f>
        <v>21802.711084767077</v>
      </c>
      <c r="N132" s="188">
        <f>+'F2013 Sch Sales Callib'!$AF$19</f>
        <v>20824.059522170443</v>
      </c>
    </row>
    <row r="133" spans="1:14" x14ac:dyDescent="0.25">
      <c r="A133" s="184"/>
      <c r="B133" s="180">
        <v>31</v>
      </c>
      <c r="C133" s="188">
        <f>+'F2013 Sch Sales Callib'!$AG$8</f>
        <v>37005.62824490371</v>
      </c>
      <c r="D133" s="188">
        <f>+'F2013 Sch Sales Callib'!$AG$9</f>
        <v>37278.683951074003</v>
      </c>
      <c r="E133" s="188">
        <f>+'F2013 Sch Sales Callib'!$AG$10</f>
        <v>36719.420140845643</v>
      </c>
      <c r="F133" s="188">
        <f>+'F2013 Sch Sales Callib'!$AG$11</f>
        <v>36691.415400623366</v>
      </c>
      <c r="G133" s="188">
        <f>+'F2013 Sch Sales Callib'!$AG$12</f>
        <v>38418.960154388442</v>
      </c>
      <c r="H133" s="188">
        <f>+'F2013 Sch Sales Callib'!$AG$13</f>
        <v>38176.546403572887</v>
      </c>
      <c r="I133" s="188">
        <f>+'F2013 Sch Sales Callib'!$AG$14</f>
        <v>33978.985881417975</v>
      </c>
      <c r="J133" s="188">
        <f>+'F2013 Sch Sales Callib'!$AG$15</f>
        <v>35174.5933114851</v>
      </c>
      <c r="K133" s="188">
        <f>+'F2013 Sch Sales Callib'!$AG$16</f>
        <v>38977.518953360595</v>
      </c>
      <c r="L133" s="188">
        <f>+'F2013 Sch Sales Callib'!$AG$17</f>
        <v>35965.993003469652</v>
      </c>
      <c r="M133" s="188">
        <f>+'F2013 Sch Sales Callib'!$AG$18</f>
        <v>37813.902627273448</v>
      </c>
      <c r="N133" s="188">
        <f>+'F2013 Sch Sales Callib'!$AG$19</f>
        <v>36661.086720684987</v>
      </c>
    </row>
    <row r="134" spans="1:14" x14ac:dyDescent="0.25">
      <c r="A134" s="184"/>
      <c r="B134" s="180">
        <v>40</v>
      </c>
      <c r="C134" s="188">
        <f>+'F2013 Sch Sales Callib'!$AH$8</f>
        <v>4384.7891469936076</v>
      </c>
      <c r="D134" s="188">
        <f>+'F2013 Sch Sales Callib'!$AH$9</f>
        <v>4187.1964349993295</v>
      </c>
      <c r="E134" s="188">
        <f>+'F2013 Sch Sales Callib'!$AH$10</f>
        <v>4507.3330790064674</v>
      </c>
      <c r="F134" s="188">
        <f>+'F2013 Sch Sales Callib'!$AH$11</f>
        <v>3882.5711260884705</v>
      </c>
      <c r="G134" s="188">
        <f>+'F2013 Sch Sales Callib'!$AH$12</f>
        <v>4251.6269336913701</v>
      </c>
      <c r="H134" s="188">
        <f>+'F2013 Sch Sales Callib'!$AH$13</f>
        <v>4216.7871206338386</v>
      </c>
      <c r="I134" s="188">
        <f>+'F2013 Sch Sales Callib'!$AH$14</f>
        <v>609.40783245871557</v>
      </c>
      <c r="J134" s="188">
        <f>+'F2013 Sch Sales Callib'!$AH$15</f>
        <v>5216.185936118447</v>
      </c>
      <c r="K134" s="188">
        <f>+'F2013 Sch Sales Callib'!$AH$16</f>
        <v>7370.7458545891504</v>
      </c>
      <c r="L134" s="188">
        <f>+'F2013 Sch Sales Callib'!$AH$17</f>
        <v>3869.2681897589614</v>
      </c>
      <c r="M134" s="188">
        <f>+'F2013 Sch Sales Callib'!$AH$18</f>
        <v>4901.5999697079087</v>
      </c>
      <c r="N134" s="188">
        <f>+'F2013 Sch Sales Callib'!$AH$19</f>
        <v>4894.4253730001701</v>
      </c>
    </row>
    <row r="135" spans="1:14" x14ac:dyDescent="0.25">
      <c r="A135" s="184"/>
      <c r="B135" s="180">
        <v>46</v>
      </c>
      <c r="C135" s="188">
        <f>+'F2013 Sch Sales Callib'!$AI$8</f>
        <v>4675.0788192891705</v>
      </c>
      <c r="D135" s="188">
        <f>+'F2013 Sch Sales Callib'!$AI$9</f>
        <v>4915.7989987438132</v>
      </c>
      <c r="E135" s="188">
        <f>+'F2013 Sch Sales Callib'!$AI$10</f>
        <v>4091.5964508744059</v>
      </c>
      <c r="F135" s="188">
        <f>+'F2013 Sch Sales Callib'!$AI$11</f>
        <v>3808.3546130106306</v>
      </c>
      <c r="G135" s="188">
        <f>+'F2013 Sch Sales Callib'!$AI$12</f>
        <v>4176.3316732943222</v>
      </c>
      <c r="H135" s="188">
        <f>+'F2013 Sch Sales Callib'!$AI$13</f>
        <v>4005.0223834071676</v>
      </c>
      <c r="I135" s="188">
        <f>+'F2013 Sch Sales Callib'!$AI$14</f>
        <v>4083.7363561394673</v>
      </c>
      <c r="J135" s="188">
        <f>+'F2013 Sch Sales Callib'!$AI$15</f>
        <v>3747.0870209740956</v>
      </c>
      <c r="K135" s="188">
        <f>+'F2013 Sch Sales Callib'!$AI$16</f>
        <v>3854.9881876708614</v>
      </c>
      <c r="L135" s="188">
        <f>+'F2013 Sch Sales Callib'!$AI$17</f>
        <v>4311.2421309466235</v>
      </c>
      <c r="M135" s="188">
        <f>+'F2013 Sch Sales Callib'!$AI$18</f>
        <v>5262.4433303702408</v>
      </c>
      <c r="N135" s="188">
        <f>+'F2013 Sch Sales Callib'!$AI$19</f>
        <v>4657.7956782170186</v>
      </c>
    </row>
    <row r="136" spans="1:14" x14ac:dyDescent="0.25">
      <c r="A136" s="184"/>
      <c r="B136" s="180">
        <v>49</v>
      </c>
      <c r="C136" s="188">
        <f>+'F2013 Sch Sales Callib'!$AJ$8</f>
        <v>8814.6493720141698</v>
      </c>
      <c r="D136" s="188">
        <f>+'F2013 Sch Sales Callib'!$AJ$9</f>
        <v>9160.6261243259978</v>
      </c>
      <c r="E136" s="188">
        <f>+'F2013 Sch Sales Callib'!$AJ$10</f>
        <v>9043.400068954983</v>
      </c>
      <c r="F136" s="188">
        <f>+'F2013 Sch Sales Callib'!$AJ$11</f>
        <v>9686.7526631114652</v>
      </c>
      <c r="G136" s="188">
        <f>+'F2013 Sch Sales Callib'!$AJ$12</f>
        <v>9651.9085444159446</v>
      </c>
      <c r="H136" s="188">
        <f>+'F2013 Sch Sales Callib'!$AJ$13</f>
        <v>8930.9988002966074</v>
      </c>
      <c r="I136" s="188">
        <f>+'F2013 Sch Sales Callib'!$AJ$14</f>
        <v>9734.6486953862368</v>
      </c>
      <c r="J136" s="188">
        <f>+'F2013 Sch Sales Callib'!$AJ$15</f>
        <v>10018.789728585158</v>
      </c>
      <c r="K136" s="188">
        <f>+'F2013 Sch Sales Callib'!$AJ$16</f>
        <v>7316.1075170987624</v>
      </c>
      <c r="L136" s="188">
        <f>+'F2013 Sch Sales Callib'!$AJ$17</f>
        <v>11724.038135920329</v>
      </c>
      <c r="M136" s="188">
        <f>+'F2013 Sch Sales Callib'!$AJ$18</f>
        <v>9057.964787999761</v>
      </c>
      <c r="N136" s="188">
        <f>+'F2013 Sch Sales Callib'!$AJ$19</f>
        <v>9083.7003647884612</v>
      </c>
    </row>
    <row r="137" spans="1:14" x14ac:dyDescent="0.25">
      <c r="A137" s="183" t="s">
        <v>133</v>
      </c>
      <c r="B137" s="179"/>
      <c r="C137" s="187">
        <f>SUM(C130:C136)</f>
        <v>98957.646433216272</v>
      </c>
      <c r="D137" s="187">
        <f t="shared" ref="D137:N137" si="177">SUM(D130:D136)</f>
        <v>99865.316935875322</v>
      </c>
      <c r="E137" s="187">
        <f t="shared" si="177"/>
        <v>98494.474232666631</v>
      </c>
      <c r="F137" s="187">
        <f t="shared" si="177"/>
        <v>96943.729908265552</v>
      </c>
      <c r="G137" s="187">
        <f t="shared" si="177"/>
        <v>100208.72887185386</v>
      </c>
      <c r="H137" s="187">
        <f t="shared" si="177"/>
        <v>102117.48424532176</v>
      </c>
      <c r="I137" s="187">
        <f t="shared" si="177"/>
        <v>96606.830790380496</v>
      </c>
      <c r="J137" s="187">
        <f t="shared" si="177"/>
        <v>97220.988574165298</v>
      </c>
      <c r="K137" s="187">
        <f t="shared" si="177"/>
        <v>98611.408992867626</v>
      </c>
      <c r="L137" s="187">
        <f t="shared" si="177"/>
        <v>100006.52939183253</v>
      </c>
      <c r="M137" s="187">
        <f t="shared" si="177"/>
        <v>101987.17598699345</v>
      </c>
      <c r="N137" s="187">
        <f t="shared" si="177"/>
        <v>98469.618423593318</v>
      </c>
    </row>
    <row r="138" spans="1:14" x14ac:dyDescent="0.25">
      <c r="A138" s="183" t="s">
        <v>77</v>
      </c>
      <c r="B138" s="179">
        <v>24</v>
      </c>
      <c r="C138" s="187">
        <f>+'F2013 Sch Sales Callib'!$AO$8</f>
        <v>1283.5723932161686</v>
      </c>
      <c r="D138" s="187">
        <f>+'F2013 Sch Sales Callib'!$AO$9</f>
        <v>1513.1831093223966</v>
      </c>
      <c r="E138" s="187">
        <f>+'F2013 Sch Sales Callib'!$AO$10</f>
        <v>1701.7809748746517</v>
      </c>
      <c r="F138" s="187">
        <f>+'F2013 Sch Sales Callib'!$AO$11</f>
        <v>1771.7557030047433</v>
      </c>
      <c r="G138" s="187">
        <f>+'F2013 Sch Sales Callib'!$AO$12</f>
        <v>1580.2797804408592</v>
      </c>
      <c r="H138" s="187">
        <f>+'F2013 Sch Sales Callib'!$AO$13</f>
        <v>1391.6238983777589</v>
      </c>
      <c r="I138" s="187">
        <f>+'F2013 Sch Sales Callib'!$AO$14</f>
        <v>1427.9346491488811</v>
      </c>
      <c r="J138" s="187">
        <f>+'F2013 Sch Sales Callib'!$AO$15</f>
        <v>1129.548157501624</v>
      </c>
      <c r="K138" s="187">
        <f>+'F2013 Sch Sales Callib'!$AO$16</f>
        <v>1462.0794543247048</v>
      </c>
      <c r="L138" s="187">
        <f>+'F2013 Sch Sales Callib'!$AO$17</f>
        <v>755.09985248983696</v>
      </c>
      <c r="M138" s="187">
        <f>+'F2013 Sch Sales Callib'!$AO$18</f>
        <v>998.65395285399075</v>
      </c>
      <c r="N138" s="187">
        <f>+'F2013 Sch Sales Callib'!$AO$19</f>
        <v>1138.8761515631497</v>
      </c>
    </row>
    <row r="139" spans="1:14" x14ac:dyDescent="0.25">
      <c r="A139" s="184"/>
      <c r="B139" s="180">
        <v>25</v>
      </c>
      <c r="C139" s="188">
        <f>+'F2013 Sch Sales Callib'!$AP$8</f>
        <v>78.828967269978051</v>
      </c>
      <c r="D139" s="188">
        <f>+'F2013 Sch Sales Callib'!$AP$9</f>
        <v>83.505338281645166</v>
      </c>
      <c r="E139" s="188">
        <f>+'F2013 Sch Sales Callib'!$AP$10</f>
        <v>110.71904560148005</v>
      </c>
      <c r="F139" s="188">
        <f>+'F2013 Sch Sales Callib'!$AP$11</f>
        <v>121.59720999553124</v>
      </c>
      <c r="G139" s="188">
        <f>+'F2013 Sch Sales Callib'!$AP$12</f>
        <v>122.59243928713644</v>
      </c>
      <c r="H139" s="188">
        <f>+'F2013 Sch Sales Callib'!$AP$13</f>
        <v>106.14021576509791</v>
      </c>
      <c r="I139" s="188">
        <f>+'F2013 Sch Sales Callib'!$AP$14</f>
        <v>111.43723106715996</v>
      </c>
      <c r="J139" s="188">
        <f>+'F2013 Sch Sales Callib'!$AP$15</f>
        <v>70.553228234026221</v>
      </c>
      <c r="K139" s="188">
        <f>+'F2013 Sch Sales Callib'!$AP$16</f>
        <v>94.572497488263465</v>
      </c>
      <c r="L139" s="188">
        <f>+'F2013 Sch Sales Callib'!$AP$17</f>
        <v>59.218400981416025</v>
      </c>
      <c r="M139" s="188">
        <f>+'F2013 Sch Sales Callib'!$AP$18</f>
        <v>78.615716271446431</v>
      </c>
      <c r="N139" s="188">
        <f>+'F2013 Sch Sales Callib'!$AP$19</f>
        <v>81.738339983900971</v>
      </c>
    </row>
    <row r="140" spans="1:14" x14ac:dyDescent="0.25">
      <c r="A140" s="184"/>
      <c r="B140" s="180">
        <v>26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  <c r="H140" s="188">
        <v>0</v>
      </c>
      <c r="I140" s="188">
        <v>0</v>
      </c>
      <c r="J140" s="188">
        <v>0</v>
      </c>
      <c r="K140" s="188">
        <v>0</v>
      </c>
      <c r="L140" s="188">
        <v>0</v>
      </c>
      <c r="M140" s="188">
        <v>0</v>
      </c>
      <c r="N140" s="188">
        <v>0</v>
      </c>
    </row>
    <row r="141" spans="1:14" x14ac:dyDescent="0.25">
      <c r="A141" s="184"/>
      <c r="B141" s="180" t="s">
        <v>77</v>
      </c>
      <c r="C141" s="188">
        <f>SUM('F2013 Sch Sales Callib'!$AN$8,'F2013 Sch Sales Callib'!$AQ$8:$AV$8)</f>
        <v>5988.3435906890918</v>
      </c>
      <c r="D141" s="188">
        <f>SUM('F2013 Sch Sales Callib'!$AN$9,'F2013 Sch Sales Callib'!$AQ$9:$AV$9)</f>
        <v>5960.4836031508039</v>
      </c>
      <c r="E141" s="188">
        <f>SUM('F2013 Sch Sales Callib'!$AN$10,'F2013 Sch Sales Callib'!$AQ$10:$AV$10)</f>
        <v>6265.7390742348907</v>
      </c>
      <c r="F141" s="188">
        <f>SUM('F2013 Sch Sales Callib'!$AN$11,'F2013 Sch Sales Callib'!$AQ$11:$AV$11)</f>
        <v>6389.8727814289223</v>
      </c>
      <c r="G141" s="188">
        <f>SUM('F2013 Sch Sales Callib'!$AN$12,'F2013 Sch Sales Callib'!$AQ$12:$AV$12)</f>
        <v>6376.3995474696658</v>
      </c>
      <c r="H141" s="188">
        <f>SUM('F2013 Sch Sales Callib'!$AN$13,'F2013 Sch Sales Callib'!$AQ$13:$AV$13)</f>
        <v>6326.9890859314382</v>
      </c>
      <c r="I141" s="188">
        <f>SUM('F2013 Sch Sales Callib'!$AN$14,'F2013 Sch Sales Callib'!$AQ$14:$AV$14)</f>
        <v>5927.3515684446875</v>
      </c>
      <c r="J141" s="188">
        <f>SUM('F2013 Sch Sales Callib'!$AN$15,'F2013 Sch Sales Callib'!$AQ$15:$AV$15)</f>
        <v>6119.5181914946988</v>
      </c>
      <c r="K141" s="188">
        <f>SUM('F2013 Sch Sales Callib'!$AN$16,'F2013 Sch Sales Callib'!$AQ$16:$AV$16)</f>
        <v>5578.2073154355094</v>
      </c>
      <c r="L141" s="188">
        <f>SUM('F2013 Sch Sales Callib'!$AN$17,'F2013 Sch Sales Callib'!$AQ$17:$AV$17)</f>
        <v>6205.5956484823582</v>
      </c>
      <c r="M141" s="188">
        <f>SUM('F2013 Sch Sales Callib'!$AN$18,'F2013 Sch Sales Callib'!$AQ$18:$AV$18)</f>
        <v>5960.0498214169675</v>
      </c>
      <c r="N141" s="188">
        <f>SUM('F2013 Sch Sales Callib'!$AN$19,'F2013 Sch Sales Callib'!$AQ$19:$AV$19)</f>
        <v>6074.8423939740851</v>
      </c>
    </row>
    <row r="142" spans="1:14" x14ac:dyDescent="0.25">
      <c r="A142" s="183" t="s">
        <v>134</v>
      </c>
      <c r="B142" s="179"/>
      <c r="C142" s="187">
        <f>SUM(C138:C141)</f>
        <v>7350.7449511752384</v>
      </c>
      <c r="D142" s="187">
        <f t="shared" ref="D142:N142" si="178">SUM(D138:D141)</f>
        <v>7557.1720507548453</v>
      </c>
      <c r="E142" s="187">
        <f t="shared" si="178"/>
        <v>8078.2390947110225</v>
      </c>
      <c r="F142" s="187">
        <f t="shared" si="178"/>
        <v>8283.2256944291967</v>
      </c>
      <c r="G142" s="187">
        <f t="shared" si="178"/>
        <v>8079.2717671976616</v>
      </c>
      <c r="H142" s="187">
        <f t="shared" si="178"/>
        <v>7824.7532000742949</v>
      </c>
      <c r="I142" s="187">
        <f t="shared" si="178"/>
        <v>7466.7234486607285</v>
      </c>
      <c r="J142" s="187">
        <f t="shared" si="178"/>
        <v>7319.619577230349</v>
      </c>
      <c r="K142" s="187">
        <f t="shared" si="178"/>
        <v>7134.8592672484774</v>
      </c>
      <c r="L142" s="187">
        <f t="shared" si="178"/>
        <v>7019.9139019536115</v>
      </c>
      <c r="M142" s="187">
        <f t="shared" si="178"/>
        <v>7037.3194905424043</v>
      </c>
      <c r="N142" s="187">
        <f t="shared" si="178"/>
        <v>7295.4568855211355</v>
      </c>
    </row>
    <row r="143" spans="1:14" x14ac:dyDescent="0.25">
      <c r="A143" s="183" t="s">
        <v>79</v>
      </c>
      <c r="B143" s="179" t="s">
        <v>79</v>
      </c>
      <c r="C143" s="187">
        <f>+'F2013 Sch Sales Callib'!$AZ$8</f>
        <v>374.72901279893176</v>
      </c>
      <c r="D143" s="187">
        <f>+'F2013 Sch Sales Callib'!$AZ$9</f>
        <v>551.6904350803004</v>
      </c>
      <c r="E143" s="187">
        <f>+'F2013 Sch Sales Callib'!$AZ$10</f>
        <v>845.42778134399543</v>
      </c>
      <c r="F143" s="187">
        <f>+'F2013 Sch Sales Callib'!$AZ$11</f>
        <v>996.9328540063309</v>
      </c>
      <c r="G143" s="187">
        <f>+'F2013 Sch Sales Callib'!$AZ$12</f>
        <v>910.35644012181535</v>
      </c>
      <c r="H143" s="187">
        <f>+'F2013 Sch Sales Callib'!$AZ$13</f>
        <v>869.65414268271718</v>
      </c>
      <c r="I143" s="187">
        <f>+'F2013 Sch Sales Callib'!$AZ$14</f>
        <v>722.99900720480787</v>
      </c>
      <c r="J143" s="187">
        <f>+'F2013 Sch Sales Callib'!$AZ$15</f>
        <v>563.2441884966338</v>
      </c>
      <c r="K143" s="187">
        <f>+'F2013 Sch Sales Callib'!$AZ$16</f>
        <v>436.84074100848954</v>
      </c>
      <c r="L143" s="187">
        <f>+'F2013 Sch Sales Callib'!$AZ$17</f>
        <v>354.5218401105405</v>
      </c>
      <c r="M143" s="187">
        <f>+'F2013 Sch Sales Callib'!$AZ$18</f>
        <v>310.98096758502692</v>
      </c>
      <c r="N143" s="187">
        <f>+'F2013 Sch Sales Callib'!$AZ$19</f>
        <v>308.70356211129308</v>
      </c>
    </row>
    <row r="144" spans="1:14" x14ac:dyDescent="0.25">
      <c r="A144" s="183" t="s">
        <v>135</v>
      </c>
      <c r="B144" s="179"/>
      <c r="C144" s="187">
        <f>SUM(C143)</f>
        <v>374.72901279893176</v>
      </c>
      <c r="D144" s="187">
        <f t="shared" ref="D144:N144" si="179">SUM(D143)</f>
        <v>551.6904350803004</v>
      </c>
      <c r="E144" s="187">
        <f t="shared" si="179"/>
        <v>845.42778134399543</v>
      </c>
      <c r="F144" s="187">
        <f t="shared" si="179"/>
        <v>996.9328540063309</v>
      </c>
      <c r="G144" s="187">
        <f t="shared" si="179"/>
        <v>910.35644012181535</v>
      </c>
      <c r="H144" s="187">
        <f t="shared" si="179"/>
        <v>869.65414268271718</v>
      </c>
      <c r="I144" s="187">
        <f t="shared" si="179"/>
        <v>722.99900720480787</v>
      </c>
      <c r="J144" s="187">
        <f t="shared" si="179"/>
        <v>563.2441884966338</v>
      </c>
      <c r="K144" s="187">
        <f t="shared" si="179"/>
        <v>436.84074100848954</v>
      </c>
      <c r="L144" s="187">
        <f t="shared" si="179"/>
        <v>354.5218401105405</v>
      </c>
      <c r="M144" s="187">
        <f t="shared" si="179"/>
        <v>310.98096758502692</v>
      </c>
      <c r="N144" s="187">
        <f t="shared" si="179"/>
        <v>308.70356211129308</v>
      </c>
    </row>
    <row r="145" spans="1:16" x14ac:dyDescent="0.25">
      <c r="A145" s="183" t="s">
        <v>119</v>
      </c>
      <c r="B145" s="179">
        <v>449</v>
      </c>
      <c r="C145" s="187">
        <f>+D158</f>
        <v>174763.56737803243</v>
      </c>
      <c r="D145" s="187">
        <f t="shared" ref="D145:N145" si="180">+E158</f>
        <v>174817.0999894916</v>
      </c>
      <c r="E145" s="187">
        <f t="shared" si="180"/>
        <v>174887.68205740277</v>
      </c>
      <c r="F145" s="187">
        <f t="shared" si="180"/>
        <v>174957.28351620678</v>
      </c>
      <c r="G145" s="187">
        <f t="shared" si="180"/>
        <v>175018.6424835035</v>
      </c>
      <c r="H145" s="187">
        <f t="shared" si="180"/>
        <v>175522.84988506071</v>
      </c>
      <c r="I145" s="187">
        <f t="shared" si="180"/>
        <v>175574.80039121938</v>
      </c>
      <c r="J145" s="187">
        <f t="shared" si="180"/>
        <v>175625.28414044593</v>
      </c>
      <c r="K145" s="187">
        <f t="shared" si="180"/>
        <v>175675.2557521913</v>
      </c>
      <c r="L145" s="187">
        <f t="shared" si="180"/>
        <v>175724.00120266728</v>
      </c>
      <c r="M145" s="187">
        <f t="shared" si="180"/>
        <v>175752.1961946995</v>
      </c>
      <c r="N145" s="187">
        <f t="shared" si="180"/>
        <v>175772.16289331758</v>
      </c>
    </row>
    <row r="146" spans="1:16" x14ac:dyDescent="0.25">
      <c r="A146" s="183" t="s">
        <v>136</v>
      </c>
      <c r="B146" s="179"/>
      <c r="C146" s="187">
        <f>SUM(C145)</f>
        <v>174763.56737803243</v>
      </c>
      <c r="D146" s="187">
        <f t="shared" ref="D146:N146" si="181">SUM(D145)</f>
        <v>174817.0999894916</v>
      </c>
      <c r="E146" s="187">
        <f t="shared" si="181"/>
        <v>174887.68205740277</v>
      </c>
      <c r="F146" s="187">
        <f t="shared" si="181"/>
        <v>174957.28351620678</v>
      </c>
      <c r="G146" s="187">
        <f t="shared" si="181"/>
        <v>175018.6424835035</v>
      </c>
      <c r="H146" s="187">
        <f t="shared" si="181"/>
        <v>175522.84988506071</v>
      </c>
      <c r="I146" s="187">
        <f t="shared" si="181"/>
        <v>175574.80039121938</v>
      </c>
      <c r="J146" s="187">
        <f t="shared" si="181"/>
        <v>175625.28414044593</v>
      </c>
      <c r="K146" s="187">
        <f t="shared" si="181"/>
        <v>175675.2557521913</v>
      </c>
      <c r="L146" s="187">
        <f t="shared" si="181"/>
        <v>175724.00120266728</v>
      </c>
      <c r="M146" s="187">
        <f t="shared" si="181"/>
        <v>175752.1961946995</v>
      </c>
      <c r="N146" s="187">
        <f t="shared" si="181"/>
        <v>175772.16289331758</v>
      </c>
    </row>
    <row r="147" spans="1:16" x14ac:dyDescent="0.25">
      <c r="A147" s="185" t="s">
        <v>87</v>
      </c>
      <c r="B147" s="181"/>
      <c r="C147" s="189">
        <f>SUM(C146,C144,C142,C137,C129,C117)</f>
        <v>1723849.1490126075</v>
      </c>
      <c r="D147" s="189">
        <f t="shared" ref="D147:N147" si="182">SUM(D146,D144,D142,D137,D129,D117)</f>
        <v>1938457.8307608177</v>
      </c>
      <c r="E147" s="189">
        <f t="shared" si="182"/>
        <v>2244835.9551395481</v>
      </c>
      <c r="F147" s="189">
        <f t="shared" si="182"/>
        <v>2392208.0632815119</v>
      </c>
      <c r="G147" s="189">
        <f t="shared" si="182"/>
        <v>2277521.2152485428</v>
      </c>
      <c r="H147" s="189">
        <f t="shared" si="182"/>
        <v>2165455.4539295761</v>
      </c>
      <c r="I147" s="189">
        <f t="shared" si="182"/>
        <v>1949889.1665122127</v>
      </c>
      <c r="J147" s="189">
        <f t="shared" si="182"/>
        <v>1826990.8695587823</v>
      </c>
      <c r="K147" s="189">
        <f t="shared" si="182"/>
        <v>1745809.150815154</v>
      </c>
      <c r="L147" s="189">
        <f t="shared" si="182"/>
        <v>1704131.87934496</v>
      </c>
      <c r="M147" s="189">
        <f t="shared" si="182"/>
        <v>1732035.4398883327</v>
      </c>
      <c r="N147" s="189">
        <f t="shared" si="182"/>
        <v>1736899.8662544498</v>
      </c>
    </row>
    <row r="148" spans="1:16" x14ac:dyDescent="0.25">
      <c r="C148">
        <f>+'F2013 Sch Sales Callib'!$BJ$8</f>
        <v>1723849.1490126073</v>
      </c>
      <c r="D148">
        <f>+'F2013 Sch Sales Callib'!$BJ$9</f>
        <v>1938457.8307608175</v>
      </c>
      <c r="E148">
        <f>+'F2013 Sch Sales Callib'!$BJ$10</f>
        <v>2244835.9551395481</v>
      </c>
      <c r="F148">
        <f>+'F2013 Sch Sales Callib'!$BJ$11</f>
        <v>2392208.0632815119</v>
      </c>
      <c r="G148">
        <f>+'F2013 Sch Sales Callib'!$BJ$12</f>
        <v>2277521.2152485428</v>
      </c>
      <c r="H148">
        <f>+'F2013 Sch Sales Callib'!$BJ$13</f>
        <v>2165455.4539295766</v>
      </c>
      <c r="I148">
        <f>+'F2013 Sch Sales Callib'!$BJ$14</f>
        <v>1949889.1665122127</v>
      </c>
      <c r="J148">
        <f>+'F2013 Sch Sales Callib'!$BJ$15</f>
        <v>1826990.8695587823</v>
      </c>
      <c r="K148">
        <f>+'F2013 Sch Sales Callib'!$BJ$16</f>
        <v>1745809.150815154</v>
      </c>
      <c r="L148">
        <f>+'F2013 Sch Sales Callib'!$BJ$17</f>
        <v>1704131.87934496</v>
      </c>
      <c r="M148">
        <f>+'F2013 Sch Sales Callib'!$BJ$18</f>
        <v>1732035.4398883327</v>
      </c>
      <c r="N148">
        <f>+'F2013 Sch Sales Callib'!$BJ$19</f>
        <v>1736899.8662544503</v>
      </c>
    </row>
    <row r="149" spans="1:16" x14ac:dyDescent="0.25">
      <c r="C149" s="136">
        <f>+C148-C147</f>
        <v>0</v>
      </c>
      <c r="D149" s="136">
        <f t="shared" ref="D149:N149" si="183">+D148-D147</f>
        <v>0</v>
      </c>
      <c r="E149" s="136">
        <f t="shared" si="183"/>
        <v>0</v>
      </c>
      <c r="F149" s="136">
        <f t="shared" si="183"/>
        <v>0</v>
      </c>
      <c r="G149" s="136">
        <f t="shared" si="183"/>
        <v>0</v>
      </c>
      <c r="H149" s="136">
        <f t="shared" si="183"/>
        <v>0</v>
      </c>
      <c r="I149" s="136">
        <f t="shared" si="183"/>
        <v>0</v>
      </c>
      <c r="J149" s="136">
        <f t="shared" si="183"/>
        <v>0</v>
      </c>
      <c r="K149" s="136">
        <f t="shared" si="183"/>
        <v>0</v>
      </c>
      <c r="L149" s="136">
        <f t="shared" si="183"/>
        <v>0</v>
      </c>
      <c r="M149" s="136">
        <f t="shared" si="183"/>
        <v>0</v>
      </c>
      <c r="N149" s="136">
        <f t="shared" si="183"/>
        <v>0</v>
      </c>
    </row>
    <row r="152" spans="1:16" ht="13" thickBot="1" x14ac:dyDescent="0.3">
      <c r="A152" s="155" t="s">
        <v>148</v>
      </c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</row>
    <row r="153" spans="1:16" x14ac:dyDescent="0.25">
      <c r="A153" s="148" t="s">
        <v>249</v>
      </c>
      <c r="B153" s="149" t="s">
        <v>88</v>
      </c>
      <c r="C153" s="149" t="s">
        <v>127</v>
      </c>
      <c r="D153" s="186">
        <v>41913</v>
      </c>
      <c r="E153" s="186">
        <v>41944</v>
      </c>
      <c r="F153" s="186">
        <v>41974</v>
      </c>
      <c r="G153" s="186">
        <v>42005</v>
      </c>
      <c r="H153" s="186">
        <v>42036</v>
      </c>
      <c r="I153" s="186">
        <v>42064</v>
      </c>
      <c r="J153" s="186">
        <v>42095</v>
      </c>
      <c r="K153" s="186">
        <v>42125</v>
      </c>
      <c r="L153" s="186">
        <v>42156</v>
      </c>
      <c r="M153" s="186">
        <v>42186</v>
      </c>
      <c r="N153" s="186">
        <v>42217</v>
      </c>
      <c r="O153" s="186">
        <v>42248</v>
      </c>
      <c r="P153" s="149" t="s">
        <v>78</v>
      </c>
    </row>
    <row r="154" spans="1:16" x14ac:dyDescent="0.25">
      <c r="A154" s="150" t="s">
        <v>146</v>
      </c>
      <c r="B154" s="151">
        <v>449</v>
      </c>
      <c r="C154" s="151" t="s">
        <v>119</v>
      </c>
      <c r="D154" s="190">
        <f>+$C$168*D162</f>
        <v>146072.49474094922</v>
      </c>
      <c r="E154" s="190">
        <f t="shared" ref="E154:O154" si="184">+$C$168*E162</f>
        <v>144971.32901713756</v>
      </c>
      <c r="F154" s="190">
        <f t="shared" si="184"/>
        <v>142497.69712705808</v>
      </c>
      <c r="G154" s="190">
        <f t="shared" si="184"/>
        <v>142079.10412723463</v>
      </c>
      <c r="H154" s="190">
        <f t="shared" si="184"/>
        <v>142316.73951525846</v>
      </c>
      <c r="I154" s="190">
        <f t="shared" si="184"/>
        <v>143397.79553195817</v>
      </c>
      <c r="J154" s="190">
        <f t="shared" si="184"/>
        <v>142616.16211931803</v>
      </c>
      <c r="K154" s="190">
        <f t="shared" si="184"/>
        <v>143761.07075840543</v>
      </c>
      <c r="L154" s="190">
        <f t="shared" si="184"/>
        <v>143578.22662714554</v>
      </c>
      <c r="M154" s="190">
        <f t="shared" si="184"/>
        <v>146437.83187139881</v>
      </c>
      <c r="N154" s="190">
        <f t="shared" si="184"/>
        <v>145797.06393529382</v>
      </c>
      <c r="O154" s="190">
        <f t="shared" si="184"/>
        <v>145774.38774884961</v>
      </c>
      <c r="P154" s="151">
        <f>SUM(D154:O154)</f>
        <v>1729299.9031200074</v>
      </c>
    </row>
    <row r="155" spans="1:16" x14ac:dyDescent="0.25">
      <c r="A155" s="150" t="s">
        <v>145</v>
      </c>
      <c r="B155" s="151">
        <v>449</v>
      </c>
      <c r="C155" s="151" t="s">
        <v>119</v>
      </c>
      <c r="D155" s="190">
        <f>+D161+D162*$C$167</f>
        <v>9452.529468753497</v>
      </c>
      <c r="E155" s="190">
        <f t="shared" ref="E155:O155" si="185">+E161+E162*$C$167</f>
        <v>9703.7643631194951</v>
      </c>
      <c r="F155" s="190">
        <f t="shared" si="185"/>
        <v>9561.0354814652947</v>
      </c>
      <c r="G155" s="190">
        <f t="shared" si="185"/>
        <v>9533.7002421438901</v>
      </c>
      <c r="H155" s="190">
        <f t="shared" si="185"/>
        <v>9744.8411461365995</v>
      </c>
      <c r="I155" s="190">
        <f t="shared" si="185"/>
        <v>9675.6320377716074</v>
      </c>
      <c r="J155" s="190">
        <f t="shared" si="185"/>
        <v>10569.426821804194</v>
      </c>
      <c r="K155" s="190">
        <f t="shared" si="185"/>
        <v>10081.568985718652</v>
      </c>
      <c r="L155" s="190">
        <f t="shared" si="185"/>
        <v>10213.470309268112</v>
      </c>
      <c r="M155" s="190">
        <f t="shared" si="185"/>
        <v>9521.9219821335682</v>
      </c>
      <c r="N155" s="190">
        <f t="shared" si="185"/>
        <v>9555.3568583563501</v>
      </c>
      <c r="O155" s="190">
        <f t="shared" si="185"/>
        <v>9488.0260471349266</v>
      </c>
      <c r="P155" s="151">
        <f>SUM(D155:O155)</f>
        <v>117101.2737438062</v>
      </c>
    </row>
    <row r="156" spans="1:16" x14ac:dyDescent="0.25">
      <c r="A156" s="150" t="s">
        <v>150</v>
      </c>
      <c r="B156" s="151">
        <v>459</v>
      </c>
      <c r="C156" s="151" t="s">
        <v>119</v>
      </c>
      <c r="D156" s="190">
        <f>+D163</f>
        <v>19238.54316832971</v>
      </c>
      <c r="E156" s="190">
        <f t="shared" ref="E156:O156" si="186">+E163</f>
        <v>20142.006609234548</v>
      </c>
      <c r="F156" s="190">
        <f t="shared" si="186"/>
        <v>22828.949448879408</v>
      </c>
      <c r="G156" s="190">
        <f t="shared" si="186"/>
        <v>23344.479146828267</v>
      </c>
      <c r="H156" s="190">
        <f t="shared" si="186"/>
        <v>22957.061822108422</v>
      </c>
      <c r="I156" s="190">
        <f t="shared" si="186"/>
        <v>22449.422315330936</v>
      </c>
      <c r="J156" s="190">
        <f t="shared" si="186"/>
        <v>22389.211450097147</v>
      </c>
      <c r="K156" s="190">
        <f t="shared" si="186"/>
        <v>21782.644396321837</v>
      </c>
      <c r="L156" s="190">
        <f t="shared" si="186"/>
        <v>21883.558815777644</v>
      </c>
      <c r="M156" s="190">
        <f t="shared" si="186"/>
        <v>19764.247349134912</v>
      </c>
      <c r="N156" s="190">
        <f t="shared" si="186"/>
        <v>20399.775401049323</v>
      </c>
      <c r="O156" s="190">
        <f t="shared" si="186"/>
        <v>20509.74909733305</v>
      </c>
      <c r="P156" s="151">
        <f>SUM(D156:O156)</f>
        <v>257689.64902042525</v>
      </c>
    </row>
    <row r="157" spans="1:16" x14ac:dyDescent="0.25">
      <c r="A157" s="150" t="s">
        <v>145</v>
      </c>
      <c r="B157" s="151">
        <v>449</v>
      </c>
      <c r="C157" s="151" t="s">
        <v>119</v>
      </c>
      <c r="D157" s="190">
        <v>0</v>
      </c>
      <c r="E157" s="190">
        <v>0</v>
      </c>
      <c r="F157" s="190">
        <v>0</v>
      </c>
      <c r="G157" s="190">
        <v>0</v>
      </c>
      <c r="H157" s="190">
        <v>0</v>
      </c>
      <c r="I157" s="190">
        <v>0</v>
      </c>
      <c r="J157" s="190">
        <v>0</v>
      </c>
      <c r="K157" s="190">
        <v>0</v>
      </c>
      <c r="L157" s="190">
        <v>0</v>
      </c>
      <c r="M157" s="190">
        <v>0</v>
      </c>
      <c r="N157" s="190">
        <v>0</v>
      </c>
      <c r="O157" s="190">
        <v>0</v>
      </c>
      <c r="P157" s="151">
        <f>SUM(D157:O157)</f>
        <v>0</v>
      </c>
    </row>
    <row r="158" spans="1:16" ht="13" thickBot="1" x14ac:dyDescent="0.3">
      <c r="A158" s="152" t="s">
        <v>147</v>
      </c>
      <c r="B158" s="153"/>
      <c r="C158" s="153"/>
      <c r="D158" s="143">
        <f>SUM(D154:D157)</f>
        <v>174763.56737803243</v>
      </c>
      <c r="E158" s="143">
        <f t="shared" ref="E158:P158" si="187">SUM(E154:E157)</f>
        <v>174817.0999894916</v>
      </c>
      <c r="F158" s="143">
        <f t="shared" si="187"/>
        <v>174887.68205740277</v>
      </c>
      <c r="G158" s="143">
        <f t="shared" si="187"/>
        <v>174957.28351620678</v>
      </c>
      <c r="H158" s="143">
        <f t="shared" si="187"/>
        <v>175018.6424835035</v>
      </c>
      <c r="I158" s="143">
        <f t="shared" si="187"/>
        <v>175522.84988506071</v>
      </c>
      <c r="J158" s="143">
        <f t="shared" si="187"/>
        <v>175574.80039121938</v>
      </c>
      <c r="K158" s="143">
        <f t="shared" si="187"/>
        <v>175625.28414044593</v>
      </c>
      <c r="L158" s="143">
        <f t="shared" si="187"/>
        <v>175675.2557521913</v>
      </c>
      <c r="M158" s="143">
        <f t="shared" si="187"/>
        <v>175724.00120266728</v>
      </c>
      <c r="N158" s="143">
        <f t="shared" si="187"/>
        <v>175752.1961946995</v>
      </c>
      <c r="O158" s="143">
        <f t="shared" si="187"/>
        <v>175772.16289331758</v>
      </c>
      <c r="P158" s="143">
        <f t="shared" si="187"/>
        <v>2104090.8258842388</v>
      </c>
    </row>
    <row r="159" spans="1:16" ht="13" thickTop="1" x14ac:dyDescent="0.25"/>
    <row r="160" spans="1:16" x14ac:dyDescent="0.25"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54"/>
    </row>
    <row r="161" spans="1:17" x14ac:dyDescent="0.25">
      <c r="A161" s="237" t="s">
        <v>250</v>
      </c>
      <c r="D161" s="190">
        <f>+'F2013 Sch Sales Callib'!$BD$8</f>
        <v>6221.7786870070195</v>
      </c>
      <c r="E161" s="190">
        <f>+'F2013 Sch Sales Callib'!$BD$9</f>
        <v>6497.3685568209694</v>
      </c>
      <c r="F161" s="190">
        <f>+'F2013 Sch Sales Callib'!$BD$10</f>
        <v>6409.3500994447959</v>
      </c>
      <c r="G161" s="190">
        <f>+'F2013 Sch Sales Callib'!$BD$11</f>
        <v>6391.2730689587479</v>
      </c>
      <c r="H161" s="190">
        <f>+'F2013 Sch Sales Callib'!$BD$12</f>
        <v>6597.1580846544166</v>
      </c>
      <c r="I161" s="190">
        <f>+'F2013 Sch Sales Callib'!$BD$13</f>
        <v>6504.0387762393857</v>
      </c>
      <c r="J161" s="190">
        <f>+'F2013 Sch Sales Callib'!$BD$14</f>
        <v>7415.121296497774</v>
      </c>
      <c r="K161" s="190">
        <f>+'F2013 Sch Sales Callib'!$BD$15</f>
        <v>6901.9410033177619</v>
      </c>
      <c r="L161" s="190">
        <f>+'F2013 Sch Sales Callib'!$BD$16</f>
        <v>7037.8863724012781</v>
      </c>
      <c r="M161" s="190">
        <f>+'F2013 Sch Sales Callib'!$BD$17</f>
        <v>6283.0908754642205</v>
      </c>
      <c r="N161" s="190">
        <f>+'F2013 Sch Sales Callib'!$BD$18</f>
        <v>6330.6979030845714</v>
      </c>
      <c r="O161" s="190">
        <f>+'F2013 Sch Sales Callib'!$BD$19</f>
        <v>6263.8686312337977</v>
      </c>
      <c r="P161" s="151">
        <f>SUM(D161:O161)</f>
        <v>78853.573355124739</v>
      </c>
    </row>
    <row r="162" spans="1:17" x14ac:dyDescent="0.25">
      <c r="A162" s="238" t="s">
        <v>251</v>
      </c>
      <c r="D162" s="190">
        <f>+'F2013 Sch Sales Callib'!$BE$8</f>
        <v>149303.24552269568</v>
      </c>
      <c r="E162" s="190">
        <f>+'F2013 Sch Sales Callib'!$BE$9</f>
        <v>148177.72482343609</v>
      </c>
      <c r="F162" s="190">
        <f>+'F2013 Sch Sales Callib'!$BE$10</f>
        <v>145649.38250907857</v>
      </c>
      <c r="G162" s="190">
        <f>+'F2013 Sch Sales Callib'!$BE$11</f>
        <v>145221.53130041977</v>
      </c>
      <c r="H162" s="190">
        <f>+'F2013 Sch Sales Callib'!$BE$12</f>
        <v>145464.42257674065</v>
      </c>
      <c r="I162" s="190">
        <f>+'F2013 Sch Sales Callib'!$BE$13</f>
        <v>146569.38879349039</v>
      </c>
      <c r="J162" s="190">
        <f>+'F2013 Sch Sales Callib'!$BE$14</f>
        <v>145770.46764462444</v>
      </c>
      <c r="K162" s="190">
        <f>+'F2013 Sch Sales Callib'!$BE$15</f>
        <v>146940.69874080631</v>
      </c>
      <c r="L162" s="190">
        <f>+'F2013 Sch Sales Callib'!$BE$16</f>
        <v>146753.81056401238</v>
      </c>
      <c r="M162" s="190">
        <f>+'F2013 Sch Sales Callib'!$BE$17</f>
        <v>149676.66297806817</v>
      </c>
      <c r="N162" s="190">
        <f>+'F2013 Sch Sales Callib'!$BE$18</f>
        <v>149021.72289056558</v>
      </c>
      <c r="O162" s="190">
        <f>+'F2013 Sch Sales Callib'!$BE$19</f>
        <v>148998.54516475074</v>
      </c>
      <c r="P162" s="151">
        <f>SUM(D162:O162)</f>
        <v>1767547.6035086885</v>
      </c>
    </row>
    <row r="163" spans="1:17" x14ac:dyDescent="0.25">
      <c r="A163" s="238" t="s">
        <v>252</v>
      </c>
      <c r="D163" s="190">
        <f>+'F2013 Sch Sales Callib'!$BF$8</f>
        <v>19238.54316832971</v>
      </c>
      <c r="E163" s="190">
        <f>+'F2013 Sch Sales Callib'!$BF$9</f>
        <v>20142.006609234548</v>
      </c>
      <c r="F163" s="190">
        <f>+'F2013 Sch Sales Callib'!$BF$10</f>
        <v>22828.949448879408</v>
      </c>
      <c r="G163" s="190">
        <f>+'F2013 Sch Sales Callib'!$BF$11</f>
        <v>23344.479146828267</v>
      </c>
      <c r="H163" s="190">
        <f>+'F2013 Sch Sales Callib'!$BF$12</f>
        <v>22957.061822108422</v>
      </c>
      <c r="I163" s="190">
        <f>+'F2013 Sch Sales Callib'!$BF$13</f>
        <v>22449.422315330936</v>
      </c>
      <c r="J163" s="190">
        <f>+'F2013 Sch Sales Callib'!$BF$14</f>
        <v>22389.211450097147</v>
      </c>
      <c r="K163" s="190">
        <f>+'F2013 Sch Sales Callib'!$BF$15</f>
        <v>21782.644396321837</v>
      </c>
      <c r="L163" s="190">
        <f>+'F2013 Sch Sales Callib'!$BF$16</f>
        <v>21883.558815777644</v>
      </c>
      <c r="M163" s="190">
        <f>+'F2013 Sch Sales Callib'!$BF$17</f>
        <v>19764.247349134912</v>
      </c>
      <c r="N163" s="190">
        <f>+'F2013 Sch Sales Callib'!$BF$18</f>
        <v>20399.775401049323</v>
      </c>
      <c r="O163" s="190">
        <f>+'F2013 Sch Sales Callib'!$BF$19</f>
        <v>20509.74909733305</v>
      </c>
      <c r="P163" s="151">
        <f>SUM(D163:O163)</f>
        <v>257689.64902042525</v>
      </c>
    </row>
    <row r="164" spans="1:17" ht="13" thickBot="1" x14ac:dyDescent="0.3">
      <c r="D164" s="143">
        <f>SUM(D160:D163)</f>
        <v>174763.56737803243</v>
      </c>
      <c r="E164" s="143">
        <f t="shared" ref="E164:P164" si="188">SUM(E160:E163)</f>
        <v>174817.0999894916</v>
      </c>
      <c r="F164" s="143">
        <f t="shared" si="188"/>
        <v>174887.68205740277</v>
      </c>
      <c r="G164" s="143">
        <f t="shared" si="188"/>
        <v>174957.28351620678</v>
      </c>
      <c r="H164" s="143">
        <f t="shared" si="188"/>
        <v>175018.6424835035</v>
      </c>
      <c r="I164" s="143">
        <f t="shared" si="188"/>
        <v>175522.84988506071</v>
      </c>
      <c r="J164" s="143">
        <f t="shared" si="188"/>
        <v>175574.80039121935</v>
      </c>
      <c r="K164" s="143">
        <f t="shared" si="188"/>
        <v>175625.28414044593</v>
      </c>
      <c r="L164" s="143">
        <f t="shared" si="188"/>
        <v>175675.25575219133</v>
      </c>
      <c r="M164" s="143">
        <f t="shared" si="188"/>
        <v>175724.00120266731</v>
      </c>
      <c r="N164" s="143">
        <f t="shared" si="188"/>
        <v>175752.19619469947</v>
      </c>
      <c r="O164" s="143">
        <f t="shared" si="188"/>
        <v>175772.16289331761</v>
      </c>
      <c r="P164" s="143">
        <f t="shared" si="188"/>
        <v>2104090.8258842384</v>
      </c>
    </row>
    <row r="165" spans="1:17" ht="13" thickTop="1" x14ac:dyDescent="0.25"/>
    <row r="166" spans="1:17" x14ac:dyDescent="0.25">
      <c r="A166" t="s">
        <v>255</v>
      </c>
      <c r="D166" s="186">
        <v>41548</v>
      </c>
      <c r="E166" s="186">
        <v>41579</v>
      </c>
      <c r="F166" s="186">
        <v>41609</v>
      </c>
      <c r="G166" s="186">
        <v>41640</v>
      </c>
      <c r="H166" s="186">
        <v>41671</v>
      </c>
      <c r="I166" s="186">
        <v>41699</v>
      </c>
      <c r="J166" s="186">
        <v>41730</v>
      </c>
      <c r="K166" s="186">
        <v>41760</v>
      </c>
      <c r="L166" s="186">
        <v>41791</v>
      </c>
      <c r="M166" s="186">
        <v>41456</v>
      </c>
      <c r="N166" s="186">
        <v>41487</v>
      </c>
      <c r="O166" s="186">
        <v>41518</v>
      </c>
      <c r="P166" s="149" t="s">
        <v>78</v>
      </c>
    </row>
    <row r="167" spans="1:17" x14ac:dyDescent="0.25">
      <c r="A167" t="s">
        <v>253</v>
      </c>
      <c r="C167" s="240">
        <f>+'Delivered Loads by Tariff'!Q167</f>
        <v>2.1638851656813913E-2</v>
      </c>
      <c r="D167" s="136">
        <v>2991729.06</v>
      </c>
      <c r="E167" s="136">
        <v>2984529.78</v>
      </c>
      <c r="F167" s="136">
        <v>2161379.88</v>
      </c>
      <c r="G167" s="136">
        <v>2347607.88</v>
      </c>
      <c r="H167" s="136">
        <v>3044161.26</v>
      </c>
      <c r="I167" s="136">
        <v>2911076.46</v>
      </c>
      <c r="J167" s="136">
        <v>3308796.5249999999</v>
      </c>
      <c r="K167" s="136">
        <v>3629247.3759999983</v>
      </c>
      <c r="L167" s="136">
        <v>3907375.03</v>
      </c>
      <c r="M167" s="136">
        <v>3172638.78</v>
      </c>
      <c r="N167" s="136">
        <v>3641876.28</v>
      </c>
      <c r="O167" s="136">
        <v>3385719.36</v>
      </c>
      <c r="P167" s="136">
        <f>SUM(D167:O167)</f>
        <v>37486137.670999996</v>
      </c>
      <c r="Q167" s="239">
        <f>+P167/P169</f>
        <v>2.1638851656813913E-2</v>
      </c>
    </row>
    <row r="168" spans="1:17" x14ac:dyDescent="0.25">
      <c r="A168" s="11" t="s">
        <v>254</v>
      </c>
      <c r="C168" s="240">
        <f>+'Delivered Loads by Tariff'!Q168</f>
        <v>0.9783611483431861</v>
      </c>
      <c r="D168" s="136">
        <v>142226155.81300002</v>
      </c>
      <c r="E168" s="136">
        <v>145139031.30700001</v>
      </c>
      <c r="F168" s="136">
        <v>141631831.78</v>
      </c>
      <c r="G168" s="136">
        <v>139922957.10399997</v>
      </c>
      <c r="H168" s="136">
        <v>142924648.16599998</v>
      </c>
      <c r="I168" s="136">
        <v>126715205.73799999</v>
      </c>
      <c r="J168" s="136">
        <v>133369022.73100001</v>
      </c>
      <c r="K168" s="136">
        <v>134383343.96800002</v>
      </c>
      <c r="L168" s="136">
        <v>145618754.90700001</v>
      </c>
      <c r="M168" s="136">
        <v>144243240.73300001</v>
      </c>
      <c r="N168" s="136">
        <v>149923832.90900001</v>
      </c>
      <c r="O168" s="136">
        <v>148769210.88799998</v>
      </c>
      <c r="P168" s="136">
        <f>SUM(D168:O168)</f>
        <v>1694867236.0439999</v>
      </c>
      <c r="Q168" s="239">
        <f>+P168/P169</f>
        <v>0.9783611483431861</v>
      </c>
    </row>
    <row r="169" spans="1:17" x14ac:dyDescent="0.25">
      <c r="A169" t="s">
        <v>78</v>
      </c>
      <c r="C169" s="240">
        <f>+'Delivered Loads by Tariff'!Q169</f>
        <v>1</v>
      </c>
      <c r="D169" s="136">
        <f t="shared" ref="D169:L169" si="189">SUM(D167:D168)</f>
        <v>145217884.87300003</v>
      </c>
      <c r="E169" s="136">
        <f t="shared" si="189"/>
        <v>148123561.08700001</v>
      </c>
      <c r="F169" s="136">
        <f t="shared" si="189"/>
        <v>143793211.66</v>
      </c>
      <c r="G169" s="136">
        <f t="shared" si="189"/>
        <v>142270564.98399997</v>
      </c>
      <c r="H169" s="136">
        <f t="shared" si="189"/>
        <v>145968809.42599997</v>
      </c>
      <c r="I169" s="136">
        <f t="shared" si="189"/>
        <v>129626282.19799998</v>
      </c>
      <c r="J169" s="136">
        <f t="shared" si="189"/>
        <v>136677819.25600001</v>
      </c>
      <c r="K169" s="136">
        <f t="shared" si="189"/>
        <v>138012591.34400001</v>
      </c>
      <c r="L169" s="136">
        <f t="shared" si="189"/>
        <v>149526129.93700001</v>
      </c>
      <c r="M169" s="136">
        <f>SUM(M167:M168)</f>
        <v>147415879.51300001</v>
      </c>
      <c r="N169" s="136">
        <f>SUM(N167:N168)</f>
        <v>153565709.18900001</v>
      </c>
      <c r="O169" s="136">
        <f>SUM(O167:O168)</f>
        <v>152154930.248</v>
      </c>
      <c r="P169" s="136">
        <f>SUM(P167:P168)</f>
        <v>1732353373.7149999</v>
      </c>
      <c r="Q169" s="240">
        <f>SUM(Q167:Q168)</f>
        <v>1</v>
      </c>
    </row>
  </sheetData>
  <mergeCells count="4">
    <mergeCell ref="A1:N1"/>
    <mergeCell ref="A27:N27"/>
    <mergeCell ref="A65:N65"/>
    <mergeCell ref="A112:N112"/>
  </mergeCells>
  <phoneticPr fontId="2" type="noConversion"/>
  <printOptions horizontalCentered="1"/>
  <pageMargins left="0.7" right="0.7" top="0.75" bottom="0.75" header="0.3" footer="0.3"/>
  <pageSetup scale="46" fitToHeight="3" orientation="landscape" horizontalDpi="1200" verticalDpi="1200" r:id="rId1"/>
  <headerFooter alignWithMargins="0">
    <oddHeader>&amp;R2014 Sales of Asset Filing
Advice 2014-xx
Page &amp;P of &amp;N</oddHeader>
    <oddFooter>&amp;L&amp;F
&amp;A&amp;R&amp;D</oddFooter>
  </headerFooter>
  <rowBreaks count="2" manualBreakCount="2">
    <brk id="64" max="16" man="1"/>
    <brk id="110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26"/>
  <sheetViews>
    <sheetView zoomScale="90" zoomScaleNormal="90" workbookViewId="0">
      <pane xSplit="4" ySplit="6" topLeftCell="E7" activePane="bottomRight" state="frozen"/>
      <selection sqref="A1:O21"/>
      <selection pane="topRight" sqref="A1:O21"/>
      <selection pane="bottomLeft" sqref="A1:O21"/>
      <selection pane="bottomRight" sqref="A1:O21"/>
    </sheetView>
  </sheetViews>
  <sheetFormatPr defaultColWidth="8.81640625" defaultRowHeight="12.5" x14ac:dyDescent="0.25"/>
  <cols>
    <col min="1" max="2" width="8.81640625" style="241"/>
    <col min="3" max="3" width="9.54296875" style="241" bestFit="1" customWidth="1"/>
    <col min="4" max="4" width="2.7265625" style="241" customWidth="1"/>
    <col min="5" max="5" width="12.26953125" style="241" customWidth="1"/>
    <col min="6" max="6" width="11" style="241" bestFit="1" customWidth="1"/>
    <col min="7" max="7" width="11.1796875" style="241" customWidth="1"/>
    <col min="8" max="8" width="9" style="241" bestFit="1" customWidth="1"/>
    <col min="9" max="9" width="7.26953125" style="241" bestFit="1" customWidth="1"/>
    <col min="10" max="10" width="12.81640625" style="241" bestFit="1" customWidth="1"/>
    <col min="11" max="11" width="11.7265625" style="241" customWidth="1"/>
    <col min="12" max="12" width="12.453125" style="241" customWidth="1"/>
    <col min="13" max="13" width="12.54296875" style="241" bestFit="1" customWidth="1"/>
    <col min="14" max="14" width="18.453125" style="241" bestFit="1" customWidth="1"/>
    <col min="15" max="15" width="12.1796875" style="241" customWidth="1"/>
    <col min="16" max="17" width="10" style="241" bestFit="1" customWidth="1"/>
    <col min="18" max="16384" width="8.81640625" style="241"/>
  </cols>
  <sheetData>
    <row r="1" spans="1:15" ht="31" x14ac:dyDescent="0.7">
      <c r="A1" s="287" t="s">
        <v>314</v>
      </c>
    </row>
    <row r="2" spans="1:15" ht="21" x14ac:dyDescent="0.5">
      <c r="A2" s="286" t="s">
        <v>313</v>
      </c>
    </row>
    <row r="3" spans="1:15" ht="13" thickBot="1" x14ac:dyDescent="0.3"/>
    <row r="4" spans="1:15" ht="13" x14ac:dyDescent="0.3">
      <c r="E4" s="363" t="s">
        <v>304</v>
      </c>
      <c r="F4" s="364"/>
      <c r="G4" s="364"/>
      <c r="H4" s="364"/>
      <c r="I4" s="364"/>
      <c r="J4" s="364"/>
      <c r="K4" s="364"/>
      <c r="L4" s="364"/>
      <c r="M4" s="364"/>
      <c r="N4" s="364"/>
      <c r="O4" s="365"/>
    </row>
    <row r="5" spans="1:15" x14ac:dyDescent="0.25">
      <c r="A5" s="242" t="s">
        <v>297</v>
      </c>
      <c r="B5" s="242" t="s">
        <v>28</v>
      </c>
      <c r="C5" s="242" t="s">
        <v>312</v>
      </c>
      <c r="E5" s="285" t="s">
        <v>1</v>
      </c>
      <c r="F5" s="284" t="s">
        <v>303</v>
      </c>
      <c r="G5" s="284" t="s">
        <v>302</v>
      </c>
      <c r="H5" s="284" t="s">
        <v>301</v>
      </c>
      <c r="I5" s="284" t="s">
        <v>300</v>
      </c>
      <c r="J5" s="284" t="s">
        <v>311</v>
      </c>
      <c r="K5" s="284" t="s">
        <v>310</v>
      </c>
      <c r="L5" s="284" t="s">
        <v>309</v>
      </c>
      <c r="M5" s="284" t="s">
        <v>308</v>
      </c>
      <c r="N5" s="284" t="s">
        <v>307</v>
      </c>
      <c r="O5" s="283" t="s">
        <v>306</v>
      </c>
    </row>
    <row r="6" spans="1:15" ht="3" customHeight="1" x14ac:dyDescent="0.25">
      <c r="E6" s="282"/>
      <c r="F6" s="281"/>
      <c r="G6" s="281"/>
      <c r="H6" s="281"/>
      <c r="I6" s="281"/>
      <c r="J6" s="281"/>
      <c r="K6" s="281"/>
      <c r="L6" s="281"/>
      <c r="M6" s="281"/>
      <c r="N6" s="281"/>
      <c r="O6" s="280"/>
    </row>
    <row r="7" spans="1:15" ht="3" customHeight="1" x14ac:dyDescent="0.25"/>
    <row r="8" spans="1:15" x14ac:dyDescent="0.25">
      <c r="A8" s="242">
        <v>2014</v>
      </c>
      <c r="B8" s="242">
        <v>10</v>
      </c>
      <c r="C8" s="276">
        <v>41913</v>
      </c>
      <c r="E8" s="278">
        <v>830719.45988077077</v>
      </c>
      <c r="F8" s="277">
        <v>755359.43118932506</v>
      </c>
      <c r="G8" s="277">
        <v>100880.87628871962</v>
      </c>
      <c r="H8" s="277">
        <v>7559.1455815032377</v>
      </c>
      <c r="I8" s="277">
        <v>498.2842275068615</v>
      </c>
      <c r="J8" s="277">
        <v>1695017.1971678257</v>
      </c>
      <c r="K8" s="277">
        <v>127581.93957177177</v>
      </c>
      <c r="L8" s="277">
        <v>1822599.1367395974</v>
      </c>
      <c r="M8" s="277">
        <v>1706.6473032634021</v>
      </c>
      <c r="N8" s="277">
        <v>128.45732390154626</v>
      </c>
      <c r="O8" s="279">
        <v>1824434.2413667624</v>
      </c>
    </row>
    <row r="9" spans="1:15" x14ac:dyDescent="0.25">
      <c r="A9" s="242">
        <v>2014</v>
      </c>
      <c r="B9" s="242">
        <v>11</v>
      </c>
      <c r="C9" s="276">
        <v>41944</v>
      </c>
      <c r="E9" s="278">
        <v>1015568.5933358988</v>
      </c>
      <c r="F9" s="277">
        <v>783743.33171863016</v>
      </c>
      <c r="G9" s="277">
        <v>95423.492706156452</v>
      </c>
      <c r="H9" s="277">
        <v>8194.8148033419548</v>
      </c>
      <c r="I9" s="277">
        <v>725.59282197454479</v>
      </c>
      <c r="J9" s="277">
        <v>1903655.825386002</v>
      </c>
      <c r="K9" s="277">
        <v>143285.92234088178</v>
      </c>
      <c r="L9" s="277">
        <v>2046941.7477268837</v>
      </c>
      <c r="M9" s="277">
        <v>1697.4546959532297</v>
      </c>
      <c r="N9" s="277">
        <v>127.76540722228606</v>
      </c>
      <c r="O9" s="279">
        <v>2048766.9678300594</v>
      </c>
    </row>
    <row r="10" spans="1:15" x14ac:dyDescent="0.25">
      <c r="A10" s="242">
        <v>2014</v>
      </c>
      <c r="B10" s="242">
        <v>12</v>
      </c>
      <c r="C10" s="276">
        <v>41974</v>
      </c>
      <c r="E10" s="278">
        <v>1279930.5492973293</v>
      </c>
      <c r="F10" s="277">
        <v>855172.47800836805</v>
      </c>
      <c r="G10" s="277">
        <v>96128.596630107451</v>
      </c>
      <c r="H10" s="277">
        <v>8216.0549399562697</v>
      </c>
      <c r="I10" s="277">
        <v>1046.3798924121038</v>
      </c>
      <c r="J10" s="277">
        <v>2240494.0587681732</v>
      </c>
      <c r="K10" s="277">
        <v>168639.33775674412</v>
      </c>
      <c r="L10" s="277">
        <v>2409133.3965249173</v>
      </c>
      <c r="M10" s="277">
        <v>1583.6154725445472</v>
      </c>
      <c r="N10" s="277">
        <v>119.19686352485837</v>
      </c>
      <c r="O10" s="279">
        <v>2410836.2088609869</v>
      </c>
    </row>
    <row r="11" spans="1:15" x14ac:dyDescent="0.25">
      <c r="A11" s="242">
        <v>2015</v>
      </c>
      <c r="B11" s="242">
        <v>1</v>
      </c>
      <c r="C11" s="276">
        <v>42005</v>
      </c>
      <c r="E11" s="278">
        <v>1240531.11950518</v>
      </c>
      <c r="F11" s="277">
        <v>830937.00097755389</v>
      </c>
      <c r="G11" s="277">
        <v>106267.67813885446</v>
      </c>
      <c r="H11" s="277">
        <v>7991.2213732092314</v>
      </c>
      <c r="I11" s="277">
        <v>890.1418228162471</v>
      </c>
      <c r="J11" s="277">
        <v>2186617.161817614</v>
      </c>
      <c r="K11" s="277">
        <v>164584.08744863747</v>
      </c>
      <c r="L11" s="277">
        <v>2351201.2492662515</v>
      </c>
      <c r="M11" s="277">
        <v>2165.5640014277396</v>
      </c>
      <c r="N11" s="277">
        <v>162.99944096767922</v>
      </c>
      <c r="O11" s="279">
        <v>2353529.812708647</v>
      </c>
    </row>
    <row r="12" spans="1:15" x14ac:dyDescent="0.25">
      <c r="A12" s="242">
        <v>2015</v>
      </c>
      <c r="B12" s="242">
        <v>2</v>
      </c>
      <c r="C12" s="276">
        <v>42036</v>
      </c>
      <c r="E12" s="278">
        <v>1030611.1896855924</v>
      </c>
      <c r="F12" s="277">
        <v>756554.26231012249</v>
      </c>
      <c r="G12" s="277">
        <v>94074.807291433914</v>
      </c>
      <c r="H12" s="277">
        <v>7273.8484718935806</v>
      </c>
      <c r="I12" s="277">
        <v>823.3277578929368</v>
      </c>
      <c r="J12" s="277">
        <v>1889337.4355169355</v>
      </c>
      <c r="K12" s="277">
        <v>142208.19407116715</v>
      </c>
      <c r="L12" s="277">
        <v>2031545.6295881027</v>
      </c>
      <c r="M12" s="277">
        <v>2280.2022388738392</v>
      </c>
      <c r="N12" s="277">
        <v>171.62812550663284</v>
      </c>
      <c r="O12" s="279">
        <v>2033997.4599524832</v>
      </c>
    </row>
    <row r="13" spans="1:15" x14ac:dyDescent="0.25">
      <c r="A13" s="242">
        <v>2015</v>
      </c>
      <c r="B13" s="242">
        <v>3</v>
      </c>
      <c r="C13" s="276">
        <v>42064</v>
      </c>
      <c r="E13" s="278">
        <v>1033343.4122653907</v>
      </c>
      <c r="F13" s="277">
        <v>805093.24678320251</v>
      </c>
      <c r="G13" s="277">
        <v>102373.90469683893</v>
      </c>
      <c r="H13" s="277">
        <v>8059.0036183099446</v>
      </c>
      <c r="I13" s="277">
        <v>824.70399813463928</v>
      </c>
      <c r="J13" s="277">
        <v>1949694.2713618767</v>
      </c>
      <c r="K13" s="277">
        <v>146751.18171540997</v>
      </c>
      <c r="L13" s="277">
        <v>2096445.4530772867</v>
      </c>
      <c r="M13" s="277">
        <v>2191.1309768305714</v>
      </c>
      <c r="N13" s="277">
        <v>164.92383696574188</v>
      </c>
      <c r="O13" s="279">
        <v>2098801.5078910827</v>
      </c>
    </row>
    <row r="14" spans="1:15" x14ac:dyDescent="0.25">
      <c r="A14" s="242">
        <v>2015</v>
      </c>
      <c r="B14" s="242">
        <v>4</v>
      </c>
      <c r="C14" s="276">
        <v>42095</v>
      </c>
      <c r="E14" s="278">
        <v>870345.44900842372</v>
      </c>
      <c r="F14" s="277">
        <v>740817.85423471464</v>
      </c>
      <c r="G14" s="277">
        <v>95066.377753446344</v>
      </c>
      <c r="H14" s="277">
        <v>7060.1029274441998</v>
      </c>
      <c r="I14" s="277">
        <v>609.6177414478193</v>
      </c>
      <c r="J14" s="277">
        <v>1713899.4016654768</v>
      </c>
      <c r="K14" s="277">
        <v>129003.18077051966</v>
      </c>
      <c r="L14" s="277">
        <v>1842902.5824359965</v>
      </c>
      <c r="M14" s="277">
        <v>2032.6984625344471</v>
      </c>
      <c r="N14" s="277">
        <v>152.99880900796916</v>
      </c>
      <c r="O14" s="279">
        <v>1845088.2797075389</v>
      </c>
    </row>
    <row r="15" spans="1:15" x14ac:dyDescent="0.25">
      <c r="A15" s="242">
        <v>2015</v>
      </c>
      <c r="B15" s="242">
        <v>5</v>
      </c>
      <c r="C15" s="276">
        <v>42125</v>
      </c>
      <c r="E15" s="278">
        <v>744774.66387015046</v>
      </c>
      <c r="F15" s="277">
        <v>737154.69778375188</v>
      </c>
      <c r="G15" s="277">
        <v>99264.817471307557</v>
      </c>
      <c r="H15" s="277">
        <v>7314.9563213099236</v>
      </c>
      <c r="I15" s="277">
        <v>478.38589422014144</v>
      </c>
      <c r="J15" s="277">
        <v>1588987.5213407399</v>
      </c>
      <c r="K15" s="277">
        <v>119601.21128371148</v>
      </c>
      <c r="L15" s="277">
        <v>1708588.7326244514</v>
      </c>
      <c r="M15" s="277">
        <v>2023.3428169727158</v>
      </c>
      <c r="N15" s="277">
        <v>152.29462063235496</v>
      </c>
      <c r="O15" s="279">
        <v>1710764.3700620565</v>
      </c>
    </row>
    <row r="16" spans="1:15" x14ac:dyDescent="0.25">
      <c r="A16" s="242">
        <v>2015</v>
      </c>
      <c r="B16" s="242">
        <v>6</v>
      </c>
      <c r="C16" s="276">
        <v>42156</v>
      </c>
      <c r="E16" s="278">
        <v>670344.82223579776</v>
      </c>
      <c r="F16" s="277">
        <v>729256.67073884781</v>
      </c>
      <c r="G16" s="277">
        <v>99055.945094774768</v>
      </c>
      <c r="H16" s="277">
        <v>7175.2486390256963</v>
      </c>
      <c r="I16" s="277">
        <v>373.0075902314083</v>
      </c>
      <c r="J16" s="277">
        <v>1506205.6942986774</v>
      </c>
      <c r="K16" s="277">
        <v>113370.32107624435</v>
      </c>
      <c r="L16" s="277">
        <v>1619576.0153749217</v>
      </c>
      <c r="M16" s="277">
        <v>1669.3296301369865</v>
      </c>
      <c r="N16" s="277">
        <v>125.64846678450431</v>
      </c>
      <c r="O16" s="279">
        <v>1621370.9934718432</v>
      </c>
    </row>
    <row r="17" spans="1:15" x14ac:dyDescent="0.25">
      <c r="A17" s="242">
        <v>2015</v>
      </c>
      <c r="B17" s="242">
        <v>7</v>
      </c>
      <c r="C17" s="276">
        <v>42186</v>
      </c>
      <c r="E17" s="278">
        <v>679718.2114515776</v>
      </c>
      <c r="F17" s="277">
        <v>769264.58631997835</v>
      </c>
      <c r="G17" s="277">
        <v>101089.28081355382</v>
      </c>
      <c r="H17" s="277">
        <v>6933.7489338020487</v>
      </c>
      <c r="I17" s="277">
        <v>335.82186306996675</v>
      </c>
      <c r="J17" s="277">
        <v>1557341.6493819817</v>
      </c>
      <c r="K17" s="277">
        <v>117219.2639319771</v>
      </c>
      <c r="L17" s="277">
        <v>1674560.9133139588</v>
      </c>
      <c r="M17" s="277">
        <v>2674.360552432785</v>
      </c>
      <c r="N17" s="277">
        <v>201.29595555945662</v>
      </c>
      <c r="O17" s="279">
        <v>1677436.569821951</v>
      </c>
    </row>
    <row r="18" spans="1:15" x14ac:dyDescent="0.25">
      <c r="A18" s="242">
        <v>2015</v>
      </c>
      <c r="B18" s="242">
        <v>8</v>
      </c>
      <c r="C18" s="276">
        <v>42217</v>
      </c>
      <c r="E18" s="278">
        <v>680560.80429248896</v>
      </c>
      <c r="F18" s="277">
        <v>786970.51062925498</v>
      </c>
      <c r="G18" s="277">
        <v>102257.33842229442</v>
      </c>
      <c r="H18" s="277">
        <v>7369.9706824903669</v>
      </c>
      <c r="I18" s="277">
        <v>301.00945751365884</v>
      </c>
      <c r="J18" s="277">
        <v>1577459.6334840425</v>
      </c>
      <c r="K18" s="277">
        <v>118733.5207998741</v>
      </c>
      <c r="L18" s="277">
        <v>1696193.1542839166</v>
      </c>
      <c r="M18" s="277">
        <v>1527.8264515258479</v>
      </c>
      <c r="N18" s="277">
        <v>114.99768989979498</v>
      </c>
      <c r="O18" s="279">
        <v>1697835.9784253421</v>
      </c>
    </row>
    <row r="19" spans="1:15" x14ac:dyDescent="0.25">
      <c r="A19" s="242">
        <v>2015</v>
      </c>
      <c r="B19" s="242">
        <v>9</v>
      </c>
      <c r="C19" s="276">
        <v>42248</v>
      </c>
      <c r="E19" s="278">
        <v>682151.29261709098</v>
      </c>
      <c r="F19" s="277">
        <v>746669.96486728452</v>
      </c>
      <c r="G19" s="277">
        <v>95305.990569037429</v>
      </c>
      <c r="H19" s="277">
        <v>7320.8319244233917</v>
      </c>
      <c r="I19" s="277">
        <v>341.15387999182207</v>
      </c>
      <c r="J19" s="277">
        <v>1531789.233857828</v>
      </c>
      <c r="K19" s="277">
        <v>115295.96383876121</v>
      </c>
      <c r="L19" s="277">
        <v>1647085.1976965892</v>
      </c>
      <c r="M19" s="277">
        <v>1328.5560922680627</v>
      </c>
      <c r="N19" s="277">
        <v>99.998845654585239</v>
      </c>
      <c r="O19" s="279">
        <v>1648513.7526345118</v>
      </c>
    </row>
    <row r="21" spans="1:15" x14ac:dyDescent="0.25">
      <c r="E21" s="275">
        <f>SUM(E8:E20)</f>
        <v>10758599.567445692</v>
      </c>
      <c r="F21" s="275">
        <f t="shared" ref="F21:O21" si="0">SUM(F8:F20)</f>
        <v>9296994.0355610345</v>
      </c>
      <c r="G21" s="275">
        <f t="shared" si="0"/>
        <v>1187189.1058765252</v>
      </c>
      <c r="H21" s="275">
        <f t="shared" si="0"/>
        <v>90468.948216709847</v>
      </c>
      <c r="I21" s="275">
        <f t="shared" si="0"/>
        <v>7247.4269472121487</v>
      </c>
      <c r="J21" s="275">
        <f t="shared" si="0"/>
        <v>21340499.084047172</v>
      </c>
      <c r="K21" s="275">
        <f t="shared" si="0"/>
        <v>1606274.1246057001</v>
      </c>
      <c r="L21" s="275">
        <f t="shared" si="0"/>
        <v>22946773.208652876</v>
      </c>
      <c r="M21" s="275">
        <f t="shared" si="0"/>
        <v>22880.728694764173</v>
      </c>
      <c r="N21" s="275">
        <f t="shared" si="0"/>
        <v>1722.2053856274099</v>
      </c>
      <c r="O21" s="275">
        <f t="shared" si="0"/>
        <v>22971376.142733265</v>
      </c>
    </row>
    <row r="23" spans="1:15" x14ac:dyDescent="0.25">
      <c r="A23" s="241" t="s">
        <v>316</v>
      </c>
      <c r="E23" s="275"/>
      <c r="F23" s="275"/>
      <c r="G23" s="275"/>
      <c r="H23" s="275"/>
      <c r="I23" s="275"/>
      <c r="J23" s="275">
        <f>+'F2013 Sch Sales Callib'!BB21</f>
        <v>21333993.213862259</v>
      </c>
    </row>
    <row r="24" spans="1:15" x14ac:dyDescent="0.25">
      <c r="A24" s="241" t="s">
        <v>317</v>
      </c>
      <c r="J24" s="275">
        <f>+'F2013 Unbilled Change Callib'!J20</f>
        <v>6505.8701849157806</v>
      </c>
    </row>
    <row r="25" spans="1:15" x14ac:dyDescent="0.25">
      <c r="J25" s="275">
        <f>SUM(J23:J24)</f>
        <v>21340499.084047176</v>
      </c>
    </row>
    <row r="26" spans="1:15" x14ac:dyDescent="0.25">
      <c r="J26" s="275">
        <f>+J25-J21</f>
        <v>0</v>
      </c>
    </row>
  </sheetData>
  <mergeCells count="1">
    <mergeCell ref="E4:O4"/>
  </mergeCells>
  <printOptions horizontalCentered="1"/>
  <pageMargins left="0.7" right="0.7" top="0.75" bottom="0.75" header="0.3" footer="0.3"/>
  <pageSetup scale="77" orientation="landscape" horizontalDpi="1200" verticalDpi="1200" r:id="rId1"/>
  <headerFooter alignWithMargins="0">
    <oddHeader>&amp;R2014 Sales of Asset Filing
Advice 2014-xx
Page &amp;P of &amp;N</oddHeader>
    <oddFooter>&amp;L&amp;F
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Motion</DocumentSetType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2013-10-31T07:00:00+00:00</OpenedDate>
    <Date1 xmlns="dc463f71-b30c-4ab2-9473-d307f9d35888">2014-09-22T07:00:00+00:00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132027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7A0A5D7D9C4E4DAB7922844D35C890" ma:contentTypeVersion="127" ma:contentTypeDescription="" ma:contentTypeScope="" ma:versionID="bc8a12f9b579bcdada1de403750c8be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B31DCC-AE83-401A-B1E0-23A071187FC6}"/>
</file>

<file path=customXml/itemProps2.xml><?xml version="1.0" encoding="utf-8"?>
<ds:datastoreItem xmlns:ds="http://schemas.openxmlformats.org/officeDocument/2006/customXml" ds:itemID="{EF010C9B-3E28-4F2F-AE62-7ECADFF53A48}"/>
</file>

<file path=customXml/itemProps3.xml><?xml version="1.0" encoding="utf-8"?>
<ds:datastoreItem xmlns:ds="http://schemas.openxmlformats.org/officeDocument/2006/customXml" ds:itemID="{283FB4E8-504F-4E26-ADC4-50459E2029E6}"/>
</file>

<file path=customXml/itemProps4.xml><?xml version="1.0" encoding="utf-8"?>
<ds:datastoreItem xmlns:ds="http://schemas.openxmlformats.org/officeDocument/2006/customXml" ds:itemID="{AF53E680-E012-4B47-A85D-60A97F6ADA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Exh CTM-02 (UE-132027)</vt:lpstr>
      <vt:lpstr>Allocation of Proceeds</vt:lpstr>
      <vt:lpstr>2014 Rates</vt:lpstr>
      <vt:lpstr>2014 Proposed Annual Impacts</vt:lpstr>
      <vt:lpstr>Estimated Proforma Base Revenue</vt:lpstr>
      <vt:lpstr>Sch 133 Lighting Credit</vt:lpstr>
      <vt:lpstr>Typ Res Tot Elec</vt:lpstr>
      <vt:lpstr>Delivered Loads by Tariff</vt:lpstr>
      <vt:lpstr>F2013 Load Callib</vt:lpstr>
      <vt:lpstr>F2013 Sch Sales Callib</vt:lpstr>
      <vt:lpstr>F2013 Unbilled Change Callib</vt:lpstr>
      <vt:lpstr>Sheet1</vt:lpstr>
      <vt:lpstr>'2014 Proposed Annual Impacts'!Print_Area</vt:lpstr>
      <vt:lpstr>'2014 Rates'!Print_Area</vt:lpstr>
      <vt:lpstr>'Delivered Loads by Tariff'!Print_Area</vt:lpstr>
      <vt:lpstr>'Estimated Proforma Base Revenue'!Print_Area</vt:lpstr>
      <vt:lpstr>'F2013 Load Callib'!Print_Area</vt:lpstr>
      <vt:lpstr>'F2013 Unbilled Change Callib'!Print_Area</vt:lpstr>
      <vt:lpstr>'Sch 133 Lighting Credit'!Print_Area</vt:lpstr>
      <vt:lpstr>'Typ Res Tot Elec'!Print_Area</vt:lpstr>
      <vt:lpstr>'F2013 Sch Sales Callib'!Print_Titles</vt:lpstr>
      <vt:lpstr>'Sch 133 Lighting Credit'!Print_Titles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Barnett, Donna L. (Perkins Coie)</dc:creator>
  <cp:lastModifiedBy>Jennifer Snyder</cp:lastModifiedBy>
  <cp:lastPrinted>2014-09-22T21:22:16Z</cp:lastPrinted>
  <dcterms:created xsi:type="dcterms:W3CDTF">2014-09-22T21:16:49Z</dcterms:created>
  <dcterms:modified xsi:type="dcterms:W3CDTF">2014-09-23T15:30:51Z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0x0101006E56B4D1795A2E4DB2F0B01679ED314A00C87A0A5D7D9C4E4DAB7922844D35C890</vt:lpwstr>
  </property>
  <property fmtid="{D5CDD505-2E9C-101B-9397-08002B2CF9AE}" pid="3" name="_docset_NoMedatataSyncRequired">
    <vt:lpwstr>False</vt:lpwstr>
  </property>
</Properties>
</file>